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ha\Desktop\PZŁ psy\"/>
    </mc:Choice>
  </mc:AlternateContent>
  <workbookProtection workbookAlgorithmName="SHA-512" workbookHashValue="vy+jiUAsUfA9KF8vKt88SgVlly7pSB1kIpU4BSs6pG1yK+in49GnYqyCzlOLsB/GNnKGzXiZ47+HYxX8wA7Bnw==" workbookSaltValue="wD1djTYaIjFfEkht0Ur2oQ==" workbookSpinCount="100000" lockStructure="1"/>
  <bookViews>
    <workbookView xWindow="0" yWindow="0" windowWidth="19200" windowHeight="6075" tabRatio="798"/>
  </bookViews>
  <sheets>
    <sheet name="Koła Łowieckie" sheetId="1" r:id="rId1"/>
    <sheet name="Arkusz3" sheetId="8" state="hidden" r:id="rId2"/>
    <sheet name="Z CERTYFIKATEM" sheetId="6" state="hidden" r:id="rId3"/>
    <sheet name="BEZ CERTYFIKATU" sheetId="7" state="hidden" r:id="rId4"/>
  </sheets>
  <definedNames>
    <definedName name="_xlnm.Print_Area" localSheetId="0">'Koła Łowieckie'!$A$1:$L$62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8" i="1" l="1"/>
  <c r="B28" i="1" l="1"/>
  <c r="AJ19" i="1" l="1"/>
  <c r="I31" i="1" s="1"/>
  <c r="D52" i="1" l="1"/>
  <c r="I2" i="6"/>
  <c r="G16" i="1"/>
  <c r="G3" i="6" l="1"/>
  <c r="G21" i="6"/>
  <c r="G17" i="6"/>
  <c r="F20" i="6"/>
  <c r="F19" i="6"/>
  <c r="E22" i="6"/>
  <c r="E18" i="6"/>
  <c r="D22" i="6"/>
  <c r="D18" i="6"/>
  <c r="G20" i="6"/>
  <c r="F18" i="6"/>
  <c r="F17" i="6"/>
  <c r="E21" i="6"/>
  <c r="E17" i="6"/>
  <c r="D21" i="6"/>
  <c r="G15" i="6"/>
  <c r="F15" i="6"/>
  <c r="E16" i="6"/>
  <c r="D16" i="6"/>
  <c r="G22" i="6"/>
  <c r="F22" i="6"/>
  <c r="F3" i="6"/>
  <c r="E15" i="6"/>
  <c r="D15" i="6"/>
  <c r="G16" i="6"/>
  <c r="D17" i="6"/>
  <c r="G19" i="6"/>
  <c r="F16" i="6"/>
  <c r="E20" i="6"/>
  <c r="D20" i="6"/>
  <c r="G18" i="6"/>
  <c r="F21" i="6"/>
  <c r="E19" i="6"/>
  <c r="D19" i="6"/>
  <c r="D12" i="6"/>
  <c r="G11" i="6"/>
  <c r="F11" i="6"/>
  <c r="I2" i="7"/>
  <c r="D3" i="6"/>
  <c r="D11" i="6"/>
  <c r="F12" i="6"/>
  <c r="E3" i="6"/>
  <c r="E12" i="6"/>
  <c r="G12" i="6"/>
  <c r="E11" i="6"/>
  <c r="D21" i="7" l="1"/>
  <c r="D17" i="7"/>
  <c r="E21" i="7"/>
  <c r="E17" i="7"/>
  <c r="D3" i="7"/>
  <c r="F21" i="7"/>
  <c r="F17" i="7"/>
  <c r="G21" i="7"/>
  <c r="G17" i="7"/>
  <c r="F16" i="7"/>
  <c r="G20" i="7"/>
  <c r="D19" i="7"/>
  <c r="D15" i="7"/>
  <c r="E19" i="7"/>
  <c r="E15" i="7"/>
  <c r="F19" i="7"/>
  <c r="F15" i="7"/>
  <c r="G15" i="7"/>
  <c r="D18" i="7"/>
  <c r="E18" i="7"/>
  <c r="F22" i="7"/>
  <c r="G22" i="7"/>
  <c r="D20" i="7"/>
  <c r="D16" i="7"/>
  <c r="E20" i="7"/>
  <c r="E16" i="7"/>
  <c r="F3" i="7"/>
  <c r="F20" i="7"/>
  <c r="G16" i="7"/>
  <c r="G3" i="7"/>
  <c r="G19" i="7"/>
  <c r="D22" i="7"/>
  <c r="E22" i="7"/>
  <c r="E3" i="7"/>
  <c r="F18" i="7"/>
  <c r="G18" i="7"/>
  <c r="D11" i="7"/>
  <c r="F12" i="7"/>
  <c r="E12" i="7"/>
  <c r="G12" i="7"/>
  <c r="D12" i="7"/>
  <c r="G11" i="7"/>
  <c r="E11" i="7"/>
  <c r="F11" i="7"/>
  <c r="X40" i="1"/>
  <c r="Y40" i="1"/>
  <c r="X41" i="1"/>
  <c r="V41" i="1"/>
  <c r="W41" i="1"/>
  <c r="Y41" i="1"/>
  <c r="W40" i="1"/>
  <c r="V40" i="1"/>
  <c r="H2" i="8"/>
  <c r="B3" i="8" s="1"/>
  <c r="G33" i="1" s="1"/>
  <c r="A62" i="1"/>
  <c r="B11" i="8" l="1"/>
  <c r="G41" i="1" s="1"/>
  <c r="B12" i="8"/>
  <c r="I2" i="8"/>
  <c r="B19" i="8" s="1"/>
  <c r="K47" i="1" s="1"/>
  <c r="X29" i="1"/>
  <c r="Y37" i="1"/>
  <c r="X37" i="1"/>
  <c r="X31" i="1"/>
  <c r="X30" i="1"/>
  <c r="X28" i="1"/>
  <c r="X27" i="1"/>
  <c r="B1" i="8" s="1"/>
  <c r="B16" i="8" l="1"/>
  <c r="I46" i="1" s="1"/>
  <c r="B17" i="8"/>
  <c r="K46" i="1" s="1"/>
  <c r="B20" i="8"/>
  <c r="I49" i="1" s="1"/>
  <c r="B23" i="8"/>
  <c r="K50" i="1" s="1"/>
  <c r="B18" i="8"/>
  <c r="I47" i="1" s="1"/>
  <c r="B21" i="8"/>
  <c r="K49" i="1" s="1"/>
  <c r="B22" i="8"/>
  <c r="I50" i="1" s="1"/>
  <c r="E42" i="1"/>
  <c r="J42" i="1" s="1"/>
</calcChain>
</file>

<file path=xl/comments1.xml><?xml version="1.0" encoding="utf-8"?>
<comments xmlns="http://schemas.openxmlformats.org/spreadsheetml/2006/main">
  <authors>
    <author>tc={48089084-43EE-4609-9251-03FA27449A9E}</author>
    <author>tc={88A82DC5-4B0D-4009-93DE-0A33A9491AF6}</author>
  </authors>
  <commentList>
    <comment ref="J14" authorId="0" shapeId="0">
      <text>
        <r>
          <rPr>
            <sz val="11"/>
            <color indexed="8"/>
            <rFont val="Calibri"/>
            <family val="2"/>
            <charset val="238"/>
          </rPr>
  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na chwilę obecna pole rok :przyszly" powinien zostać zablokowany. w grudniu będzie mozliwość zawarcia ubezpieczenia od stycznia 2024. Mam wątpliwości do pozostawienia mozliwości wybotu miesiąca wstecz
Odpowiedź:
    OK, słusznie, </t>
        </r>
      </text>
    </comment>
    <comment ref="A40" authorId="1" shapeId="0">
      <text>
        <r>
          <rPr>
            <sz val="11"/>
            <color indexed="8"/>
            <rFont val="Calibri"/>
            <family val="2"/>
            <charset val="238"/>
          </rPr>
  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do usunięcia, uspienie z konieczności jest kolejnym ryzykiem. Miałysmy bład w excelu
Odpowiedź:
    Ok- prośba i usunięcie</t>
        </r>
      </text>
    </comment>
  </commentList>
</comments>
</file>

<file path=xl/sharedStrings.xml><?xml version="1.0" encoding="utf-8"?>
<sst xmlns="http://schemas.openxmlformats.org/spreadsheetml/2006/main" count="210" uniqueCount="111">
  <si>
    <t>Suma ubezpieczenia</t>
  </si>
  <si>
    <t>Płeć</t>
  </si>
  <si>
    <t>Składka</t>
  </si>
  <si>
    <t>Składka łączna w wysokości</t>
  </si>
  <si>
    <t xml:space="preserve">     (podpis Ubezpieczonego)</t>
  </si>
  <si>
    <t>REGON:</t>
  </si>
  <si>
    <t>Wariant I</t>
  </si>
  <si>
    <t>Wariant II</t>
  </si>
  <si>
    <t>Wariant III</t>
  </si>
  <si>
    <t>Wariant IV</t>
  </si>
  <si>
    <t>PESEL/NIP:</t>
  </si>
  <si>
    <t>certyfikat</t>
  </si>
  <si>
    <t>DANE PSA MYŚLIWSKIEGO</t>
  </si>
  <si>
    <t>PSY</t>
  </si>
  <si>
    <t>TAK</t>
  </si>
  <si>
    <t>NIE</t>
  </si>
  <si>
    <t>Certyfikat</t>
  </si>
  <si>
    <t>PIES</t>
  </si>
  <si>
    <t>RASOWY</t>
  </si>
  <si>
    <t>NIERASOWY</t>
  </si>
  <si>
    <t>W TYPIE RASY</t>
  </si>
  <si>
    <t>WARIANTY</t>
  </si>
  <si>
    <t>Ubezpieczenie:</t>
  </si>
  <si>
    <t>Wariant ubezpieczenia</t>
  </si>
  <si>
    <t>Wariant V</t>
  </si>
  <si>
    <t>Zakres podstawowy</t>
  </si>
  <si>
    <r>
      <t>koszty</t>
    </r>
    <r>
      <rPr>
        <sz val="9"/>
        <color rgb="FF000000"/>
        <rFont val="Tahoma"/>
        <family val="2"/>
        <charset val="238"/>
      </rPr>
      <t xml:space="preserve"> usług weterynaryjnych w następstwie nieszczęśliwych wypadków:</t>
    </r>
  </si>
  <si>
    <t>wizyta i konsultacja lekarska lekarza weterynarii,</t>
  </si>
  <si>
    <t>leczenie ambulatoryjne,</t>
  </si>
  <si>
    <t>zabiegi i operacje chirurgiczne w zakładzie leczenia zwierząt,</t>
  </si>
  <si>
    <t>badania diagnostyczne i obrazowe zlecone przez lekarza weterynarii,</t>
  </si>
  <si>
    <t>koszt leków wraz z ich podaniem przez lekarza weterynarii w zakładzie leczenia zwierząt,</t>
  </si>
  <si>
    <t>hospitalizacja psa myśliwskiego w zakładzie leczenia zwierząt,</t>
  </si>
  <si>
    <t>uśpienie z konieczności psa myśliwskiego;</t>
  </si>
  <si>
    <r>
      <t>uśpie</t>
    </r>
    <r>
      <rPr>
        <sz val="9"/>
        <color rgb="FF000000"/>
        <rFont val="Tahoma"/>
        <family val="2"/>
        <charset val="238"/>
      </rPr>
      <t>nie z konieczności w następstwie nieszczęśliwego wypadku</t>
    </r>
  </si>
  <si>
    <t>Składka PLN</t>
  </si>
  <si>
    <t>Zakres dodatkowy</t>
  </si>
  <si>
    <r>
      <t>Trans</t>
    </r>
    <r>
      <rPr>
        <sz val="9"/>
        <color rgb="FF000000"/>
        <rFont val="Tahoma"/>
        <family val="2"/>
        <charset val="238"/>
      </rPr>
      <t>port  psa myśliwskiego do zakładu leczenia zwierząt lub koszt dojazdu lekarza weterynarii do psa myśliwskiego</t>
    </r>
  </si>
  <si>
    <t>Rehabilitacja psa myśliwskiego  w następstwie nieszczęśliwego wypadku</t>
  </si>
  <si>
    <t>Świadczenie na wypadek śmierci w następstwie nieszczęśliwego wypadku</t>
  </si>
  <si>
    <t>Świadczenie na wypadek śmierci i uśpienia z konieczności oraz utrata przydatności psa myśliwskiego na skutek doznanego uszczerbku w następstwie nieszczęśliwego wypadku</t>
  </si>
  <si>
    <t>ZAKRES DODATKOWY</t>
  </si>
  <si>
    <t>Składka dodatkowa</t>
  </si>
  <si>
    <t>Pies:</t>
  </si>
  <si>
    <t>WARIANT UBEZPIECZENIA</t>
  </si>
  <si>
    <t>UBEZPIECZONY</t>
  </si>
  <si>
    <t>Wybór/Suma ubezpieczenia</t>
  </si>
  <si>
    <t>Ubezpieczyciel</t>
  </si>
  <si>
    <t>Powszechny Zakład Ubezpieczeń Spółka Akcyjna, Rondo Ignacego Daszyńskiego 4, 00-843 Warszawa</t>
  </si>
  <si>
    <t>Ubezpieczający</t>
  </si>
  <si>
    <t>Polski Związek Łowiecki, ul. Nowy Świat 35, 00-029 Warszawa</t>
  </si>
  <si>
    <t xml:space="preserve"> WNIOSEK
O PRZYSTĄPIENIE DO UMOWY GRUPOWEGO UBEZPIECZENIA PSÓW MYŚLIWSKICH </t>
  </si>
  <si>
    <t>Oświadczenia Ubezpieczonego:</t>
  </si>
  <si>
    <t>Powszechny Zakład Ubezpieczeń Spółka Akcyjna</t>
  </si>
  <si>
    <t>ul. Rondo Ignacego Daszyńskiego 4</t>
  </si>
  <si>
    <t>00-843 Warszawa</t>
  </si>
  <si>
    <t>tel.: 801 102 102</t>
  </si>
  <si>
    <t>e-mail: kontakt@pzu.pl</t>
  </si>
  <si>
    <r>
      <t>Trans</t>
    </r>
    <r>
      <rPr>
        <sz val="8"/>
        <color rgb="FF000000"/>
        <rFont val="Tahoma"/>
        <family val="2"/>
        <charset val="238"/>
      </rPr>
      <t>port  psa myśliwskiego do zakładu leczenia zwierząt lub koszt dojazdu lekarza weterynarii do psa myśliwskiego</t>
    </r>
  </si>
  <si>
    <r>
      <t>koszty</t>
    </r>
    <r>
      <rPr>
        <sz val="8"/>
        <color rgb="FF000000"/>
        <rFont val="Tahoma"/>
        <family val="2"/>
        <charset val="238"/>
      </rPr>
      <t xml:space="preserve"> usług weterynaryjnych w następstwie nieszczęśliwych wypadków:</t>
    </r>
  </si>
  <si>
    <t>SUKA</t>
  </si>
  <si>
    <t>Kontynuacja ubezp.</t>
  </si>
  <si>
    <t>Imię:</t>
  </si>
  <si>
    <t>Kod pocztowy:</t>
  </si>
  <si>
    <t>Ulica:</t>
  </si>
  <si>
    <t>Nr lokalu:</t>
  </si>
  <si>
    <t>Telefon:</t>
  </si>
  <si>
    <t>E-mail:</t>
  </si>
  <si>
    <t>Nazwisko:</t>
  </si>
  <si>
    <t>Miejscowość:</t>
  </si>
  <si>
    <t>Nr domu:</t>
  </si>
  <si>
    <t>Rasa:</t>
  </si>
  <si>
    <t>Wiek w miesiącach:</t>
  </si>
  <si>
    <t>Nr Chip/Tatuażu:</t>
  </si>
  <si>
    <t>Kontynuacja</t>
  </si>
  <si>
    <t>Okres ubezpieczenia:</t>
  </si>
  <si>
    <t>od:</t>
  </si>
  <si>
    <t>do:</t>
  </si>
  <si>
    <t>cały zakres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</si>
  <si>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</si>
  <si>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</si>
  <si>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</si>
  <si>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</si>
  <si>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</si>
  <si>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</si>
  <si>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</si>
  <si>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</si>
  <si>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</si>
  <si>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</si>
  <si>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</si>
  <si>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</si>
  <si>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Obecny</t>
  </si>
  <si>
    <t>Przyszły</t>
  </si>
  <si>
    <t>Data urodzenia psa:</t>
  </si>
  <si>
    <t>1. Wyrażam  wolę przystąpienia do umowy grupowego ubezpieczenia  na podstawie Ogólnych warunków grupowego ubezpieczenia psów myśliwskich ustalonymi uchwałą nr UZ/244/2023 Zarządu PZU SA z dnia 16 sierpnia 2023 r.</t>
  </si>
  <si>
    <t>2. Oświadczam, iż przed przystąpieniem do grupowej umowy ubezpieczenia psów myśliwskich otrzymałem i zapoznałem się z Ogólnymi warunkami grupowego ubezpieczenia psów myśliwskich ustalonymi uchwałą nr UZ/244/2023 Zarządu PZU SA z dnia 16 sierpnia 2023 r. oraz Informacją o produkcie ubezpieczeniowym.</t>
  </si>
  <si>
    <t xml:space="preserve">                       Rok:</t>
  </si>
  <si>
    <t>Wybierz początek ochrony                  miesiąc:</t>
  </si>
  <si>
    <t>OKRES UBEZPIECZENIA</t>
  </si>
  <si>
    <t>OKRES UBEZPIECZENIA ROZPOCZYNA SIĘ NAJWCZEŚNIEJ OD 1 DNIA NASTĘPNEGO MIESIĄCA PO ZŁOŻENIU WNIOSKU</t>
  </si>
  <si>
    <t>Składka za wariant podstawowy</t>
  </si>
  <si>
    <r>
      <t>uśpie</t>
    </r>
    <r>
      <rPr>
        <sz val="8"/>
        <color rgb="FF000000"/>
        <rFont val="Tahoma"/>
        <family val="2"/>
        <charset val="238"/>
      </rPr>
      <t>nie z konieczności psa myśliwskiego w następstwie nieszczęśliwego wypadku</t>
    </r>
  </si>
  <si>
    <t>Do wyboru jedno z dwóch poniższych świadczeń dodatkowych</t>
  </si>
  <si>
    <t>Nazwa KŁ/OHZ:</t>
  </si>
  <si>
    <t>Wiek psa do ubepieczenia nie może być mniejszy niż 3 mc i większy niż 83 mc dla nowych ubezpieczeń oraz przy kontynuacji od 3 mc do 119 mc.</t>
  </si>
  <si>
    <t>płatna jest jednorazowo na numer rachunku bankowego który</t>
  </si>
  <si>
    <t>zostanie przekazany przez WDB S.A. po weryfikacji wniosku</t>
  </si>
  <si>
    <t>Nazwa zwierzęcia:</t>
  </si>
  <si>
    <t>3. Oświadczam, że jestem członkiem PZŁ</t>
  </si>
  <si>
    <t>4. Oświadczam, że zapoznałem się z informacją o przetwarzaniu swoich danych osobowych przez PZU SA jako administratora danych osobowych w ramach umowy grupowego ubezpieczenia psów myśliwskich zawartą w dokumencie „Informacja Administratora danych osobowych”.</t>
  </si>
  <si>
    <t>5. Oświadczam, że na dzień przystapienia do ubezpieczenia na podstawie Ogólnych warunków grupowego ubezpieczenia psów myśliwskich ustalonymi uchwałą nr UZ/244/2023 Zarządu PZU SA z dnia 16 sierpnia 2023 r. pies myśliwski nie posiada zdiagnozowanych schorzeń.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</si>
</sst>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zł&quot;"/>
    <numFmt numFmtId="165" formatCode="#,##0.00\ &quot;zł&quot;"/>
    <numFmt numFmtId="166" formatCode="#,##0\ &quot;zł&quot;"/>
  </numFmts>
  <fonts count="42" x14ac:knownFonts="1">
    <font>
      <sz val="11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63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b/>
      <sz val="11"/>
      <color rgb="FFFF0000"/>
      <name val="Calibri Light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sz val="8"/>
      <color rgb="FF000000"/>
      <name val="Tahoma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8"/>
      <color rgb="FFFF0000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9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12" fillId="0" borderId="0" applyNumberFormat="0" applyBorder="0" applyProtection="0"/>
    <xf numFmtId="0" fontId="4" fillId="8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9" fontId="15" fillId="15" borderId="5" applyFont="0" applyProtection="0">
      <alignment horizontal="left" vertical="center"/>
      <protection locked="0" hidden="1"/>
    </xf>
  </cellStyleXfs>
  <cellXfs count="167">
    <xf numFmtId="0" fontId="0" fillId="0" borderId="0" xfId="0"/>
    <xf numFmtId="0" fontId="13" fillId="0" borderId="0" xfId="0" applyFont="1" applyAlignment="1">
      <alignment horizontal="left"/>
    </xf>
    <xf numFmtId="0" fontId="19" fillId="0" borderId="0" xfId="0" applyFont="1"/>
    <xf numFmtId="0" fontId="20" fillId="12" borderId="13" xfId="0" applyFont="1" applyFill="1" applyBorder="1" applyAlignment="1">
      <alignment horizontal="left"/>
    </xf>
    <xf numFmtId="0" fontId="20" fillId="12" borderId="13" xfId="0" applyFont="1" applyFill="1" applyBorder="1" applyAlignment="1">
      <alignment horizontal="center"/>
    </xf>
    <xf numFmtId="0" fontId="21" fillId="0" borderId="13" xfId="0" applyFont="1" applyBorder="1" applyAlignment="1">
      <alignment wrapText="1"/>
    </xf>
    <xf numFmtId="0" fontId="23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" fontId="23" fillId="0" borderId="19" xfId="0" applyNumberFormat="1" applyFont="1" applyBorder="1" applyAlignment="1">
      <alignment horizontal="center" vertical="center"/>
    </xf>
    <xf numFmtId="3" fontId="23" fillId="0" borderId="13" xfId="0" applyNumberFormat="1" applyFont="1" applyBorder="1" applyAlignment="1">
      <alignment horizontal="center" vertical="center"/>
    </xf>
    <xf numFmtId="0" fontId="21" fillId="13" borderId="13" xfId="0" applyFont="1" applyFill="1" applyBorder="1" applyAlignment="1">
      <alignment wrapText="1"/>
    </xf>
    <xf numFmtId="0" fontId="15" fillId="0" borderId="6" xfId="13" applyNumberFormat="1" applyFont="1" applyBorder="1" applyAlignment="1" applyProtection="1">
      <alignment horizontal="left" vertical="center" wrapText="1"/>
      <protection hidden="1"/>
    </xf>
    <xf numFmtId="0" fontId="13" fillId="0" borderId="6" xfId="13" applyNumberFormat="1" applyFont="1" applyBorder="1" applyAlignment="1" applyProtection="1">
      <alignment horizontal="left" vertical="center" wrapText="1"/>
      <protection hidden="1"/>
    </xf>
    <xf numFmtId="14" fontId="13" fillId="0" borderId="0" xfId="0" applyNumberFormat="1" applyFont="1" applyAlignment="1">
      <alignment horizontal="left"/>
    </xf>
    <xf numFmtId="0" fontId="16" fillId="0" borderId="0" xfId="13" applyNumberFormat="1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/>
      <protection hidden="1"/>
    </xf>
    <xf numFmtId="0" fontId="30" fillId="0" borderId="0" xfId="13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27" fillId="12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28" fillId="0" borderId="5" xfId="0" applyFont="1" applyBorder="1" applyProtection="1">
      <protection hidden="1"/>
    </xf>
    <xf numFmtId="0" fontId="28" fillId="0" borderId="8" xfId="0" applyFont="1" applyBorder="1" applyAlignment="1" applyProtection="1">
      <alignment horizontal="right"/>
      <protection hidden="1"/>
    </xf>
    <xf numFmtId="0" fontId="13" fillId="0" borderId="8" xfId="0" applyFont="1" applyBorder="1" applyAlignment="1" applyProtection="1">
      <alignment horizontal="left"/>
      <protection hidden="1"/>
    </xf>
    <xf numFmtId="0" fontId="13" fillId="0" borderId="6" xfId="0" applyFont="1" applyBorder="1" applyAlignment="1" applyProtection="1">
      <alignment horizontal="left"/>
      <protection hidden="1"/>
    </xf>
    <xf numFmtId="0" fontId="15" fillId="0" borderId="0" xfId="13" applyNumberFormat="1" applyFont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32" fillId="0" borderId="5" xfId="0" applyFont="1" applyBorder="1" applyAlignment="1" applyProtection="1">
      <alignment horizontal="left" vertical="center"/>
      <protection hidden="1"/>
    </xf>
    <xf numFmtId="0" fontId="33" fillId="0" borderId="5" xfId="0" applyFont="1" applyBorder="1" applyAlignment="1" applyProtection="1">
      <alignment horizontal="left"/>
      <protection hidden="1"/>
    </xf>
    <xf numFmtId="0" fontId="32" fillId="0" borderId="7" xfId="13" applyNumberFormat="1" applyFont="1" applyBorder="1" applyAlignment="1" applyProtection="1">
      <alignment horizontal="left" vertical="center"/>
      <protection hidden="1"/>
    </xf>
    <xf numFmtId="0" fontId="24" fillId="0" borderId="8" xfId="13" applyNumberFormat="1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0" fontId="15" fillId="0" borderId="0" xfId="13" applyNumberFormat="1" applyFont="1" applyBorder="1" applyAlignment="1" applyProtection="1">
      <alignment horizontal="left" vertical="center"/>
      <protection hidden="1"/>
    </xf>
    <xf numFmtId="0" fontId="17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9" fillId="0" borderId="0" xfId="0" applyFont="1" applyAlignment="1" applyProtection="1">
      <alignment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24" fillId="0" borderId="8" xfId="13" applyNumberFormat="1" applyFont="1" applyBorder="1" applyAlignment="1" applyProtection="1">
      <alignment horizontal="left" vertical="center"/>
      <protection locked="0" hidden="1"/>
    </xf>
    <xf numFmtId="0" fontId="24" fillId="0" borderId="6" xfId="13" applyNumberFormat="1" applyFont="1" applyBorder="1" applyAlignment="1" applyProtection="1">
      <alignment horizontal="left" vertical="center"/>
      <protection locked="0" hidden="1"/>
    </xf>
    <xf numFmtId="0" fontId="19" fillId="0" borderId="13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5" fillId="10" borderId="6" xfId="13" applyNumberFormat="1" applyFont="1" applyFill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left" vertical="center"/>
      <protection hidden="1"/>
    </xf>
    <xf numFmtId="0" fontId="15" fillId="10" borderId="8" xfId="13" applyNumberFormat="1" applyFont="1" applyFill="1" applyBorder="1" applyAlignment="1" applyProtection="1">
      <alignment horizontal="center" vertical="center"/>
      <protection locked="0" hidden="1"/>
    </xf>
    <xf numFmtId="0" fontId="13" fillId="0" borderId="8" xfId="13" applyNumberFormat="1" applyFont="1" applyBorder="1" applyAlignment="1" applyProtection="1">
      <alignment horizontal="center" vertical="center"/>
      <protection locked="0" hidden="1"/>
    </xf>
    <xf numFmtId="0" fontId="15" fillId="0" borderId="8" xfId="13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wrapText="1"/>
      <protection hidden="1"/>
    </xf>
    <xf numFmtId="49" fontId="13" fillId="0" borderId="0" xfId="0" applyNumberFormat="1" applyFont="1" applyAlignment="1">
      <alignment horizontal="left"/>
    </xf>
    <xf numFmtId="0" fontId="32" fillId="0" borderId="5" xfId="0" applyFont="1" applyFill="1" applyBorder="1" applyAlignment="1" applyProtection="1">
      <alignment horizontal="left" vertical="center"/>
      <protection hidden="1"/>
    </xf>
    <xf numFmtId="0" fontId="34" fillId="0" borderId="11" xfId="0" applyFont="1" applyBorder="1" applyAlignment="1" applyProtection="1">
      <alignment horizontal="left" wrapText="1"/>
      <protection hidden="1"/>
    </xf>
    <xf numFmtId="0" fontId="35" fillId="0" borderId="0" xfId="0" applyFont="1" applyProtection="1">
      <protection hidden="1"/>
    </xf>
    <xf numFmtId="0" fontId="35" fillId="0" borderId="11" xfId="0" applyFont="1" applyBorder="1" applyProtection="1">
      <protection hidden="1"/>
    </xf>
    <xf numFmtId="0" fontId="28" fillId="0" borderId="0" xfId="0" applyFont="1" applyAlignment="1" applyProtection="1">
      <alignment wrapText="1"/>
      <protection hidden="1"/>
    </xf>
    <xf numFmtId="0" fontId="29" fillId="0" borderId="0" xfId="0" applyFont="1" applyAlignment="1" applyProtection="1">
      <alignment wrapText="1"/>
      <protection hidden="1"/>
    </xf>
    <xf numFmtId="166" fontId="15" fillId="0" borderId="17" xfId="13" applyNumberFormat="1" applyFont="1" applyBorder="1" applyAlignment="1" applyProtection="1">
      <alignment horizontal="right"/>
      <protection locked="0" hidden="1"/>
    </xf>
    <xf numFmtId="166" fontId="0" fillId="0" borderId="19" xfId="0" applyNumberFormat="1" applyBorder="1" applyAlignment="1" applyProtection="1">
      <alignment horizontal="right"/>
      <protection locked="0" hidden="1"/>
    </xf>
    <xf numFmtId="165" fontId="15" fillId="0" borderId="17" xfId="0" applyNumberFormat="1" applyFont="1" applyBorder="1" applyAlignment="1" applyProtection="1">
      <alignment horizontal="center" vertical="center" wrapText="1"/>
      <protection hidden="1"/>
    </xf>
    <xf numFmtId="165" fontId="15" fillId="0" borderId="19" xfId="0" applyNumberFormat="1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165" fontId="15" fillId="0" borderId="9" xfId="0" quotePrefix="1" applyNumberFormat="1" applyFont="1" applyBorder="1" applyAlignment="1" applyProtection="1">
      <alignment horizontal="center" vertical="center"/>
      <protection hidden="1"/>
    </xf>
    <xf numFmtId="165" fontId="17" fillId="0" borderId="9" xfId="0" applyNumberFormat="1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32" fillId="0" borderId="5" xfId="0" quotePrefix="1" applyFont="1" applyFill="1" applyBorder="1" applyAlignment="1" applyProtection="1">
      <alignment horizontal="left" vertical="center"/>
      <protection locked="0" hidden="1"/>
    </xf>
    <xf numFmtId="0" fontId="32" fillId="0" borderId="5" xfId="0" applyFont="1" applyFill="1" applyBorder="1" applyAlignment="1" applyProtection="1">
      <alignment horizontal="left" vertical="center"/>
      <protection locked="0" hidden="1"/>
    </xf>
    <xf numFmtId="0" fontId="15" fillId="0" borderId="22" xfId="0" applyFont="1" applyBorder="1" applyAlignment="1" applyProtection="1">
      <alignment horizontal="left" vertical="center"/>
      <protection locked="0" hidden="1"/>
    </xf>
    <xf numFmtId="0" fontId="0" fillId="0" borderId="23" xfId="0" applyBorder="1" applyAlignment="1" applyProtection="1">
      <alignment horizontal="left" vertical="center"/>
      <protection locked="0" hidden="1"/>
    </xf>
    <xf numFmtId="0" fontId="28" fillId="0" borderId="17" xfId="0" applyFont="1" applyBorder="1" applyAlignment="1" applyProtection="1">
      <alignment wrapText="1"/>
      <protection hidden="1"/>
    </xf>
    <xf numFmtId="0" fontId="29" fillId="0" borderId="18" xfId="0" applyFont="1" applyBorder="1" applyAlignment="1" applyProtection="1">
      <alignment wrapText="1"/>
      <protection hidden="1"/>
    </xf>
    <xf numFmtId="0" fontId="29" fillId="0" borderId="19" xfId="0" applyFont="1" applyBorder="1" applyAlignment="1" applyProtection="1">
      <alignment wrapText="1"/>
      <protection hidden="1"/>
    </xf>
    <xf numFmtId="49" fontId="32" fillId="0" borderId="5" xfId="0" applyNumberFormat="1" applyFont="1" applyFill="1" applyBorder="1" applyAlignment="1" applyProtection="1">
      <alignment horizontal="left" vertical="center"/>
      <protection locked="0"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24" fillId="0" borderId="5" xfId="0" quotePrefix="1" applyFont="1" applyBorder="1" applyAlignment="1" applyProtection="1">
      <alignment horizontal="left" vertical="center"/>
      <protection locked="0" hidden="1"/>
    </xf>
    <xf numFmtId="0" fontId="32" fillId="0" borderId="5" xfId="0" applyFont="1" applyBorder="1" applyAlignment="1" applyProtection="1">
      <alignment horizontal="left" vertical="center"/>
      <protection locked="0" hidden="1"/>
    </xf>
    <xf numFmtId="0" fontId="32" fillId="0" borderId="5" xfId="0" applyFont="1" applyBorder="1" applyAlignment="1" applyProtection="1">
      <alignment horizontal="left"/>
      <protection hidden="1"/>
    </xf>
    <xf numFmtId="0" fontId="33" fillId="0" borderId="5" xfId="0" applyFont="1" applyFill="1" applyBorder="1" applyAlignment="1" applyProtection="1">
      <alignment horizontal="left"/>
      <protection hidden="1"/>
    </xf>
    <xf numFmtId="0" fontId="32" fillId="0" borderId="5" xfId="0" applyFont="1" applyFill="1" applyBorder="1" applyAlignment="1" applyProtection="1">
      <alignment horizontal="left"/>
      <protection hidden="1"/>
    </xf>
    <xf numFmtId="166" fontId="15" fillId="0" borderId="2" xfId="13" applyNumberFormat="1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166" fontId="15" fillId="0" borderId="7" xfId="0" applyNumberFormat="1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10" borderId="3" xfId="13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0" borderId="7" xfId="13" applyNumberFormat="1" applyFont="1" applyFill="1" applyBorder="1" applyAlignment="1" applyProtection="1">
      <alignment horizontal="center" vertical="center"/>
      <protection hidden="1"/>
    </xf>
    <xf numFmtId="0" fontId="15" fillId="10" borderId="8" xfId="13" applyNumberFormat="1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4" fontId="16" fillId="0" borderId="5" xfId="13" applyNumberFormat="1" applyFont="1" applyBorder="1" applyAlignment="1" applyProtection="1">
      <alignment horizontal="center"/>
      <protection hidden="1"/>
    </xf>
    <xf numFmtId="0" fontId="16" fillId="0" borderId="5" xfId="13" applyNumberFormat="1" applyFont="1" applyBorder="1" applyAlignment="1" applyProtection="1">
      <alignment horizontal="center"/>
      <protection hidden="1"/>
    </xf>
    <xf numFmtId="0" fontId="16" fillId="0" borderId="5" xfId="13" applyNumberFormat="1" applyFont="1" applyBorder="1" applyAlignment="1" applyProtection="1">
      <alignment horizontal="left"/>
      <protection hidden="1"/>
    </xf>
    <xf numFmtId="0" fontId="28" fillId="0" borderId="13" xfId="0" applyFont="1" applyBorder="1" applyAlignment="1" applyProtection="1">
      <alignment vertical="center" wrapText="1"/>
      <protection hidden="1"/>
    </xf>
    <xf numFmtId="0" fontId="29" fillId="0" borderId="13" xfId="0" applyFont="1" applyBorder="1" applyAlignment="1" applyProtection="1">
      <alignment vertical="center"/>
      <protection hidden="1"/>
    </xf>
    <xf numFmtId="49" fontId="39" fillId="0" borderId="0" xfId="0" applyNumberFormat="1" applyFont="1" applyProtection="1">
      <protection locked="0" hidden="1"/>
    </xf>
    <xf numFmtId="14" fontId="13" fillId="9" borderId="10" xfId="0" applyNumberFormat="1" applyFont="1" applyFill="1" applyBorder="1" applyAlignment="1" applyProtection="1">
      <alignment horizontal="left" vertical="center"/>
      <protection hidden="1"/>
    </xf>
    <xf numFmtId="49" fontId="15" fillId="0" borderId="5" xfId="0" applyNumberFormat="1" applyFont="1" applyFill="1" applyBorder="1" applyAlignment="1" applyProtection="1">
      <alignment horizontal="left" vertical="center"/>
      <protection locked="0" hidden="1"/>
    </xf>
    <xf numFmtId="49" fontId="0" fillId="0" borderId="5" xfId="0" applyNumberFormat="1" applyFill="1" applyBorder="1" applyAlignment="1" applyProtection="1">
      <alignment horizontal="left" vertical="center"/>
      <protection locked="0" hidden="1"/>
    </xf>
    <xf numFmtId="49" fontId="15" fillId="0" borderId="5" xfId="0" quotePrefix="1" applyNumberFormat="1" applyFont="1" applyFill="1" applyBorder="1" applyAlignment="1" applyProtection="1">
      <alignment horizontal="left" vertical="center"/>
      <protection locked="0" hidden="1"/>
    </xf>
    <xf numFmtId="49" fontId="32" fillId="0" borderId="5" xfId="0" quotePrefix="1" applyNumberFormat="1" applyFont="1" applyFill="1" applyBorder="1" applyAlignment="1" applyProtection="1">
      <alignment horizontal="left" vertical="center"/>
      <protection locked="0" hidden="1"/>
    </xf>
    <xf numFmtId="0" fontId="34" fillId="0" borderId="24" xfId="0" applyFont="1" applyFill="1" applyBorder="1" applyAlignment="1" applyProtection="1">
      <alignment horizontal="left" wrapText="1"/>
      <protection hidden="1"/>
    </xf>
    <xf numFmtId="0" fontId="0" fillId="0" borderId="25" xfId="0" applyFill="1" applyBorder="1" applyAlignment="1" applyProtection="1">
      <alignment horizontal="left" wrapText="1"/>
      <protection hidden="1"/>
    </xf>
    <xf numFmtId="0" fontId="0" fillId="0" borderId="26" xfId="0" applyFill="1" applyBorder="1" applyAlignment="1" applyProtection="1">
      <alignment horizontal="left" wrapText="1"/>
      <protection hidden="1"/>
    </xf>
    <xf numFmtId="0" fontId="13" fillId="0" borderId="24" xfId="0" applyFont="1" applyBorder="1" applyAlignment="1" applyProtection="1">
      <alignment horizontal="left" vertical="center"/>
      <protection hidden="1"/>
    </xf>
    <xf numFmtId="0" fontId="0" fillId="0" borderId="26" xfId="0" applyBorder="1" applyAlignment="1">
      <alignment horizontal="left"/>
    </xf>
    <xf numFmtId="0" fontId="27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5" fillId="10" borderId="5" xfId="13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49" fontId="40" fillId="0" borderId="5" xfId="3" applyNumberFormat="1" applyFont="1" applyFill="1" applyBorder="1" applyAlignment="1" applyProtection="1">
      <alignment horizontal="left" vertical="center"/>
      <protection locked="0" hidden="1"/>
    </xf>
    <xf numFmtId="14" fontId="13" fillId="0" borderId="8" xfId="0" applyNumberFormat="1" applyFont="1" applyBorder="1" applyAlignment="1" applyProtection="1">
      <alignment horizontal="left"/>
      <protection locked="0"/>
    </xf>
    <xf numFmtId="14" fontId="13" fillId="0" borderId="8" xfId="0" applyNumberFormat="1" applyFont="1" applyBorder="1" applyAlignment="1" applyProtection="1">
      <alignment horizontal="left"/>
      <protection hidden="1"/>
    </xf>
    <xf numFmtId="0" fontId="13" fillId="0" borderId="7" xfId="0" applyFont="1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28" fillId="0" borderId="7" xfId="0" applyFont="1" applyBorder="1" applyProtection="1">
      <protection hidden="1"/>
    </xf>
    <xf numFmtId="0" fontId="0" fillId="0" borderId="8" xfId="0" applyBorder="1" applyProtection="1">
      <protection hidden="1"/>
    </xf>
    <xf numFmtId="0" fontId="36" fillId="0" borderId="7" xfId="0" applyFont="1" applyBorder="1" applyAlignment="1" applyProtection="1">
      <alignment horizontal="center" vertical="center"/>
      <protection hidden="1"/>
    </xf>
    <xf numFmtId="0" fontId="35" fillId="0" borderId="8" xfId="0" applyFont="1" applyBorder="1" applyAlignment="1" applyProtection="1">
      <alignment horizontal="center" vertical="center"/>
      <protection hidden="1"/>
    </xf>
    <xf numFmtId="0" fontId="35" fillId="0" borderId="6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15" fillId="10" borderId="2" xfId="13" applyNumberFormat="1" applyFont="1" applyFill="1" applyBorder="1" applyAlignment="1" applyProtection="1">
      <alignment horizontal="center" vertical="center"/>
      <protection hidden="1"/>
    </xf>
    <xf numFmtId="0" fontId="15" fillId="10" borderId="3" xfId="13" applyNumberFormat="1" applyFont="1" applyFill="1" applyBorder="1" applyAlignment="1" applyProtection="1">
      <alignment horizontal="center" vertical="center"/>
      <protection hidden="1"/>
    </xf>
    <xf numFmtId="0" fontId="15" fillId="10" borderId="4" xfId="13" applyNumberFormat="1" applyFont="1" applyFill="1" applyBorder="1" applyAlignment="1" applyProtection="1">
      <alignment horizontal="center" vertical="center"/>
      <protection hidden="1"/>
    </xf>
    <xf numFmtId="14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hidden="1"/>
    </xf>
    <xf numFmtId="0" fontId="24" fillId="0" borderId="8" xfId="13" applyNumberFormat="1" applyFont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locked="0" hidden="1"/>
    </xf>
    <xf numFmtId="14" fontId="13" fillId="11" borderId="10" xfId="0" applyNumberFormat="1" applyFont="1" applyFill="1" applyBorder="1" applyAlignment="1" applyProtection="1">
      <alignment horizontal="left" vertical="center"/>
      <protection hidden="1"/>
    </xf>
    <xf numFmtId="14" fontId="13" fillId="11" borderId="5" xfId="0" applyNumberFormat="1" applyFont="1" applyFill="1" applyBorder="1" applyAlignment="1" applyProtection="1">
      <alignment horizontal="left" vertical="center"/>
      <protection hidden="1"/>
    </xf>
    <xf numFmtId="1" fontId="13" fillId="9" borderId="5" xfId="0" applyNumberFormat="1" applyFont="1" applyFill="1" applyBorder="1" applyAlignment="1" applyProtection="1">
      <alignment horizontal="left" vertical="center"/>
      <protection hidden="1"/>
    </xf>
    <xf numFmtId="165" fontId="17" fillId="0" borderId="30" xfId="0" applyNumberFormat="1" applyFont="1" applyBorder="1" applyAlignment="1" applyProtection="1">
      <alignment horizontal="center"/>
      <protection hidden="1"/>
    </xf>
    <xf numFmtId="164" fontId="17" fillId="0" borderId="31" xfId="0" applyNumberFormat="1" applyFont="1" applyBorder="1" applyAlignment="1" applyProtection="1">
      <alignment horizontal="center"/>
      <protection hidden="1"/>
    </xf>
    <xf numFmtId="164" fontId="17" fillId="0" borderId="32" xfId="0" applyNumberFormat="1" applyFont="1" applyBorder="1" applyAlignment="1" applyProtection="1">
      <alignment horizontal="center"/>
      <protection hidden="1"/>
    </xf>
    <xf numFmtId="0" fontId="37" fillId="14" borderId="27" xfId="0" applyFont="1" applyFill="1" applyBorder="1" applyAlignment="1" applyProtection="1">
      <alignment horizontal="center" vertical="center" wrapText="1"/>
      <protection hidden="1"/>
    </xf>
    <xf numFmtId="0" fontId="38" fillId="14" borderId="29" xfId="0" applyFont="1" applyFill="1" applyBorder="1" applyAlignment="1">
      <alignment horizontal="center"/>
    </xf>
    <xf numFmtId="0" fontId="38" fillId="14" borderId="28" xfId="0" applyFont="1" applyFill="1" applyBorder="1" applyAlignment="1">
      <alignment horizontal="center"/>
    </xf>
    <xf numFmtId="0" fontId="0" fillId="0" borderId="20" xfId="0" applyBorder="1" applyAlignment="1" applyProtection="1">
      <alignment horizontal="center" vertical="center" wrapText="1"/>
      <protection hidden="1"/>
    </xf>
    <xf numFmtId="3" fontId="23" fillId="0" borderId="14" xfId="0" applyNumberFormat="1" applyFont="1" applyBorder="1" applyAlignment="1">
      <alignment horizontal="center" vertical="center"/>
    </xf>
    <xf numFmtId="3" fontId="23" fillId="0" borderId="15" xfId="0" applyNumberFormat="1" applyFont="1" applyBorder="1" applyAlignment="1">
      <alignment horizontal="center" vertical="center"/>
    </xf>
    <xf numFmtId="3" fontId="23" fillId="0" borderId="16" xfId="0" applyNumberFormat="1" applyFont="1" applyBorder="1" applyAlignment="1">
      <alignment horizontal="center" vertical="center"/>
    </xf>
    <xf numFmtId="0" fontId="41" fillId="0" borderId="0" xfId="0" applyFont="1" applyAlignment="1" applyProtection="1">
      <alignment horizontal="center" vertical="center" textRotation="180" wrapText="1" shrinkToFit="1"/>
      <protection hidden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ny" xfId="0" builtinId="0"/>
    <cellStyle name="Normalny 2" xfId="13"/>
    <cellStyle name="Note" xfId="14"/>
    <cellStyle name="Status" xfId="15"/>
    <cellStyle name="Styl 1" xfId="18"/>
    <cellStyle name="Text" xfId="16"/>
    <cellStyle name="Warning" xfId="17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Drop" dropLines="2" dropStyle="combo" dx="22" fmlaLink="$Q$33" fmlaRange="$Q$34:$Q$35" noThreeD="1" sel="2" val="0"/>
</file>

<file path=xl/ctrlProps/ctrlProp10.xml><?xml version="1.0" encoding="utf-8"?>
<formControlPr xmlns="http://schemas.microsoft.com/office/spreadsheetml/2009/9/main" objectType="Drop" dropLines="12" dropStyle="combo" dx="22" fmlaLink="$T$1" fmlaRange="$U$2:$U$13" noThreeD="1" sel="7" val="0"/>
</file>

<file path=xl/ctrlProps/ctrlProp11.xml><?xml version="1.0" encoding="utf-8"?>
<formControlPr xmlns="http://schemas.microsoft.com/office/spreadsheetml/2009/9/main" objectType="Drop" dropLines="2" dropStyle="combo" dx="22" fmlaLink="$W$1" fmlaRange="$X$2:$X$3" noThreeD="1" sel="2" val="0"/>
</file>

<file path=xl/ctrlProps/ctrlProp2.xml><?xml version="1.0" encoding="utf-8"?>
<formControlPr xmlns="http://schemas.microsoft.com/office/spreadsheetml/2009/9/main" objectType="Drop" dropLines="3" dropStyle="combo" dx="22" fmlaLink="$Q$27" fmlaRange="$Q$28:$Q$30" noThreeD="1" val="0"/>
</file>

<file path=xl/ctrlProps/ctrlProp3.xml><?xml version="1.0" encoding="utf-8"?>
<formControlPr xmlns="http://schemas.microsoft.com/office/spreadsheetml/2009/9/main" objectType="Drop" dropLines="5" dropStyle="combo" dx="22" fmlaLink="$X$26" fmlaRange="$X$27:$X$31" noThreeD="1" sel="3" val="0"/>
</file>

<file path=xl/ctrlProps/ctrlProp4.xml><?xml version="1.0" encoding="utf-8"?>
<formControlPr xmlns="http://schemas.microsoft.com/office/spreadsheetml/2009/9/main" objectType="Drop" dropLines="2" dropStyle="combo" dx="22" fmlaLink="$V$34" fmlaRange="$V$40:$V$41" noThreeD="1" sel="2" val="0"/>
</file>

<file path=xl/ctrlProps/ctrlProp5.xml><?xml version="1.0" encoding="utf-8"?>
<formControlPr xmlns="http://schemas.microsoft.com/office/spreadsheetml/2009/9/main" objectType="Drop" dropLines="2" dropStyle="combo" dx="22" fmlaLink="$W$34" fmlaRange="$W$40:$W$41" noThreeD="1" sel="2" val="0"/>
</file>

<file path=xl/ctrlProps/ctrlProp6.xml><?xml version="1.0" encoding="utf-8"?>
<formControlPr xmlns="http://schemas.microsoft.com/office/spreadsheetml/2009/9/main" objectType="Drop" dropLines="2" dropStyle="combo" dx="22" fmlaLink="$X$34" fmlaRange="$X$40:$X$41" noThreeD="1" sel="2" val="0"/>
</file>

<file path=xl/ctrlProps/ctrlProp7.xml><?xml version="1.0" encoding="utf-8"?>
<formControlPr xmlns="http://schemas.microsoft.com/office/spreadsheetml/2009/9/main" objectType="Drop" dropLines="2" dropStyle="combo" dx="22" fmlaLink="$Y$34" fmlaRange="$Y$40:$Y$41" noThreeD="1" sel="2" val="0"/>
</file>

<file path=xl/ctrlProps/ctrlProp8.xml><?xml version="1.0" encoding="utf-8"?>
<formControlPr xmlns="http://schemas.microsoft.com/office/spreadsheetml/2009/9/main" objectType="Drop" dropLines="2" dropStyle="combo" dx="22" fmlaLink="$Q$37" fmlaRange="$Q$38:$Q$39" noThreeD="1" val="0"/>
</file>

<file path=xl/ctrlProps/ctrlProp9.xml><?xml version="1.0" encoding="utf-8"?>
<formControlPr xmlns="http://schemas.microsoft.com/office/spreadsheetml/2009/9/main" objectType="Drop" dropLines="2" dropStyle="combo" dx="22" fmlaLink="Arkusz3!$I$1" fmlaRange="$Q$24:$Q$25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424296</xdr:colOff>
      <xdr:row>2</xdr:row>
      <xdr:rowOff>17318</xdr:rowOff>
    </xdr:from>
    <xdr:to>
      <xdr:col>11</xdr:col>
      <xdr:colOff>526561</xdr:colOff>
      <xdr:row>6</xdr:row>
      <xdr:rowOff>140855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603" t="22764" r="21325" b="20774"/>
        <a:stretch/>
      </xdr:blipFill>
      <xdr:spPr>
        <a:xfrm>
          <a:off x="5743642" y="310395"/>
          <a:ext cx="704050" cy="716041"/>
        </a:xfrm>
        <a:prstGeom prst="rect">
          <a:avLst/>
        </a:prstGeom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1190625</xdr:colOff>
          <xdr:row>28</xdr:row>
          <xdr:rowOff>9525</xdr:rowOff>
        </xdr:from>
        <xdr:to>
          <xdr:col>5</xdr:col>
          <xdr:colOff>0</xdr:colOff>
          <xdr:row>29</xdr:row>
          <xdr:rowOff>9525</xdr:rowOff>
        </xdr:to>
        <xdr:sp macro="" textlink="">
          <xdr:nvSpPr>
            <xdr:cNvPr id="1026" name="Drop Down 17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28</xdr:row>
          <xdr:rowOff>0</xdr:rowOff>
        </xdr:from>
        <xdr:to>
          <xdr:col>11</xdr:col>
          <xdr:colOff>952500</xdr:colOff>
          <xdr:row>29</xdr:row>
          <xdr:rowOff>0</xdr:rowOff>
        </xdr:to>
        <xdr:sp macro="" textlink="">
          <xdr:nvSpPr>
            <xdr:cNvPr id="1027" name="Drop Down 1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1190625</xdr:colOff>
          <xdr:row>30</xdr:row>
          <xdr:rowOff>9525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45</xdr:row>
          <xdr:rowOff>38100</xdr:rowOff>
        </xdr:from>
        <xdr:to>
          <xdr:col>8</xdr:col>
          <xdr:colOff>619125</xdr:colOff>
          <xdr:row>45</xdr:row>
          <xdr:rowOff>257175</xdr:rowOff>
        </xdr:to>
        <xdr:sp macro="" textlink="">
          <xdr:nvSpPr>
            <xdr:cNvPr id="1032" name="Drop Down 1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46</xdr:row>
          <xdr:rowOff>28575</xdr:rowOff>
        </xdr:from>
        <xdr:to>
          <xdr:col>8</xdr:col>
          <xdr:colOff>619125</xdr:colOff>
          <xdr:row>46</xdr:row>
          <xdr:rowOff>257175</xdr:rowOff>
        </xdr:to>
        <xdr:sp macro="" textlink="">
          <xdr:nvSpPr>
            <xdr:cNvPr id="1033" name="Drop Down 1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48</xdr:row>
          <xdr:rowOff>28575</xdr:rowOff>
        </xdr:from>
        <xdr:to>
          <xdr:col>8</xdr:col>
          <xdr:colOff>619125</xdr:colOff>
          <xdr:row>48</xdr:row>
          <xdr:rowOff>257175</xdr:rowOff>
        </xdr:to>
        <xdr:sp macro="" textlink="">
          <xdr:nvSpPr>
            <xdr:cNvPr id="1034" name="Drop Down 17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49</xdr:row>
          <xdr:rowOff>38100</xdr:rowOff>
        </xdr:from>
        <xdr:to>
          <xdr:col>8</xdr:col>
          <xdr:colOff>619125</xdr:colOff>
          <xdr:row>49</xdr:row>
          <xdr:rowOff>257175</xdr:rowOff>
        </xdr:to>
        <xdr:sp macro="" textlink="">
          <xdr:nvSpPr>
            <xdr:cNvPr id="1035" name="Drop Down 17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26</xdr:row>
          <xdr:rowOff>0</xdr:rowOff>
        </xdr:from>
        <xdr:to>
          <xdr:col>11</xdr:col>
          <xdr:colOff>952500</xdr:colOff>
          <xdr:row>27</xdr:row>
          <xdr:rowOff>9525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21980</xdr:colOff>
      <xdr:row>61</xdr:row>
      <xdr:rowOff>256443</xdr:rowOff>
    </xdr:from>
    <xdr:to>
      <xdr:col>1</xdr:col>
      <xdr:colOff>461596</xdr:colOff>
      <xdr:row>62</xdr:row>
      <xdr:rowOff>131885</xdr:rowOff>
    </xdr:to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980" y="10059866"/>
          <a:ext cx="1633904" cy="307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>
              <a:latin typeface="Arial" panose="020B0604020202020204" pitchFamily="34" charset="0"/>
              <a:cs typeface="Arial" panose="020B0604020202020204" pitchFamily="34" charset="0"/>
            </a:rPr>
            <a:t>(miejscowość i data)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27</xdr:row>
          <xdr:rowOff>0</xdr:rowOff>
        </xdr:from>
        <xdr:to>
          <xdr:col>11</xdr:col>
          <xdr:colOff>942975</xdr:colOff>
          <xdr:row>28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13</xdr:row>
          <xdr:rowOff>0</xdr:rowOff>
        </xdr:from>
        <xdr:to>
          <xdr:col>8</xdr:col>
          <xdr:colOff>85725</xdr:colOff>
          <xdr:row>13</xdr:row>
          <xdr:rowOff>161925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419100</xdr:colOff>
          <xdr:row>13</xdr:row>
          <xdr:rowOff>9525</xdr:rowOff>
        </xdr:from>
        <xdr:to>
          <xdr:col>12</xdr:col>
          <xdr:colOff>9525</xdr:colOff>
          <xdr:row>14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usiak Joanna (Grupa PZU)" id="{F626A300-196B-4877-97D8-589A00221C6A}" userId="S::jpanek@pzu.pl::5682b95d-e2db-4a5d-b8a3-5f933e5786bb" providerId="AD"/>
  <person displayName="Kondrat Marta (Grupa PZU)" id="{B0C45B80-C0B7-4916-9FA6-0BF32471AAA4}" userId="S::martkondrat@pzu.pl::534b116f-e4b7-4710-be62-1bbe7113b80a" providerId="AD"/>
  <person displayName="Aleksandra Mróz" id="{B60B3340-7776-4AFF-9E9B-A4C14C9F0FA0}" userId="S::aleksandra.mroz@wdbsa.pl::77056456-06f6-460b-8f6e-70d4a0ec9e7e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" dT="2023-09-05T09:29:10.70" personId="{B0C45B80-C0B7-4916-9FA6-0BF32471AAA4}" id="{48089084-43EE-4609-9251-03FA27449A9E}">
    <text>na chwilę obecna pole rok :przyszly" powinien zostać zablokowany. w grudniu będzie mozliwość zawarcia ubezpieczenia od stycznia 2024. Mam wątpliwości do pozostawienia mozliwości wybotu miesiąca wstecz</text>
  </threadedComment>
  <threadedComment ref="J14" dT="2023-09-06T12:56:03.82" personId="{B60B3340-7776-4AFF-9E9B-A4C14C9F0FA0}" id="{B65476FA-B3C3-4A45-B3E2-7659FCEDC909}" parentId="{48089084-43EE-4609-9251-03FA27449A9E}">
    <text xml:space="preserve">OK, słusznie, </text>
  </threadedComment>
  <threadedComment ref="A40" dT="2023-09-05T11:32:08.11" personId="{F626A300-196B-4877-97D8-589A00221C6A}" id="{88A82DC5-4B0D-4009-93DE-0A33A9491AF6}">
    <text>do usunięcia, uspienie z konieczności jest kolejnym ryzykiem. Miałysmy bład w excelu</text>
  </threadedComment>
  <threadedComment ref="A40" dT="2023-09-06T12:52:28.44" personId="{B60B3340-7776-4AFF-9E9B-A4C14C9F0FA0}" id="{CD61E319-7F32-4167-ABE2-6E4BF5288695}" parentId="{88A82DC5-4B0D-4009-93DE-0A33A9491AF6}">
    <text>Ok- prośba i usunięcie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83"/>
  <sheetViews>
    <sheetView showGridLines="0" tabSelected="1" view="pageBreakPreview" topLeftCell="A16" zoomScale="110" zoomScaleNormal="130" zoomScaleSheetLayoutView="110" workbookViewId="0">
      <selection activeCell="I20" sqref="I20:L20"/>
    </sheetView>
  </sheetViews>
  <sheetFormatPr defaultColWidth="11" defaultRowHeight="11.25" x14ac:dyDescent="0.2"/>
  <cols>
    <col min="1" max="1" width="17.85546875" style="17" customWidth="1"/>
    <col min="2" max="2" width="8.85546875" style="17" customWidth="1"/>
    <col min="3" max="3" width="7.42578125" style="17" customWidth="1"/>
    <col min="4" max="4" width="11.42578125" style="17" customWidth="1"/>
    <col min="5" max="5" width="7.5703125" style="17" customWidth="1"/>
    <col min="6" max="6" width="1.5703125" style="17" hidden="1" customWidth="1"/>
    <col min="7" max="7" width="5.5703125" style="17" customWidth="1"/>
    <col min="8" max="8" width="9.85546875" style="17" customWidth="1"/>
    <col min="9" max="9" width="10.5703125" style="17" customWidth="1"/>
    <col min="10" max="10" width="6.5703125" style="17" customWidth="1"/>
    <col min="11" max="11" width="2.42578125" style="17" customWidth="1"/>
    <col min="12" max="12" width="14.42578125" style="17" customWidth="1"/>
    <col min="13" max="13" width="14.42578125" style="17" hidden="1" customWidth="1"/>
    <col min="14" max="14" width="14.5703125" style="18" hidden="1" customWidth="1"/>
    <col min="15" max="15" width="8.140625" style="57" hidden="1" customWidth="1"/>
    <col min="16" max="16" width="8.42578125" style="57" hidden="1" customWidth="1"/>
    <col min="17" max="17" width="3.85546875" style="57" hidden="1" customWidth="1"/>
    <col min="18" max="18" width="3" style="58" hidden="1" customWidth="1"/>
    <col min="19" max="20" width="2.85546875" style="58" hidden="1" customWidth="1"/>
    <col min="21" max="35" width="11" style="58" hidden="1" customWidth="1"/>
    <col min="36" max="36" width="11" style="1" hidden="1" customWidth="1"/>
    <col min="37" max="37" width="11" style="1" customWidth="1"/>
    <col min="38" max="16384" width="11" style="1"/>
  </cols>
  <sheetData>
    <row r="1" spans="1:36" hidden="1" x14ac:dyDescent="0.2">
      <c r="T1" s="58">
        <v>7</v>
      </c>
      <c r="W1" s="58">
        <v>2</v>
      </c>
    </row>
    <row r="2" spans="1:36" x14ac:dyDescent="0.2">
      <c r="A2" s="19" t="s">
        <v>53</v>
      </c>
      <c r="T2" s="58">
        <v>1</v>
      </c>
      <c r="U2" s="58" t="s">
        <v>79</v>
      </c>
      <c r="W2" s="58">
        <v>1</v>
      </c>
      <c r="X2" s="58" t="s">
        <v>91</v>
      </c>
    </row>
    <row r="3" spans="1:36" x14ac:dyDescent="0.2">
      <c r="A3" s="19" t="s">
        <v>54</v>
      </c>
      <c r="T3" s="58">
        <v>2</v>
      </c>
      <c r="U3" s="58" t="s">
        <v>80</v>
      </c>
      <c r="W3" s="58">
        <v>2</v>
      </c>
      <c r="X3" s="58" t="s">
        <v>92</v>
      </c>
    </row>
    <row r="4" spans="1:36" x14ac:dyDescent="0.2">
      <c r="A4" s="19" t="s">
        <v>55</v>
      </c>
      <c r="T4" s="58">
        <v>3</v>
      </c>
      <c r="U4" s="58" t="s">
        <v>81</v>
      </c>
    </row>
    <row r="5" spans="1:36" x14ac:dyDescent="0.2">
      <c r="A5" s="19" t="s">
        <v>56</v>
      </c>
      <c r="T5" s="58">
        <v>4</v>
      </c>
      <c r="U5" s="58" t="s">
        <v>82</v>
      </c>
    </row>
    <row r="6" spans="1:36" x14ac:dyDescent="0.2">
      <c r="A6" s="19" t="s">
        <v>57</v>
      </c>
      <c r="T6" s="58">
        <v>5</v>
      </c>
      <c r="U6" s="58" t="s">
        <v>83</v>
      </c>
    </row>
    <row r="7" spans="1:36" ht="24.75" customHeight="1" x14ac:dyDescent="0.2">
      <c r="A7" s="129" t="s">
        <v>51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20"/>
      <c r="T7" s="58">
        <v>6</v>
      </c>
      <c r="U7" s="58" t="s">
        <v>84</v>
      </c>
      <c r="AJ7" s="15"/>
    </row>
    <row r="8" spans="1:36" ht="7.5" customHeight="1" x14ac:dyDescent="0.2">
      <c r="T8" s="58">
        <v>7</v>
      </c>
      <c r="U8" s="58" t="s">
        <v>85</v>
      </c>
    </row>
    <row r="9" spans="1:36" x14ac:dyDescent="0.2">
      <c r="A9" s="21" t="s">
        <v>47</v>
      </c>
      <c r="B9" s="22" t="s">
        <v>48</v>
      </c>
      <c r="T9" s="58">
        <v>8</v>
      </c>
      <c r="U9" s="58" t="s">
        <v>86</v>
      </c>
    </row>
    <row r="10" spans="1:36" ht="9" customHeight="1" x14ac:dyDescent="0.2">
      <c r="A10" s="23"/>
      <c r="B10" s="23"/>
      <c r="T10" s="58">
        <v>9</v>
      </c>
      <c r="U10" s="58" t="s">
        <v>87</v>
      </c>
    </row>
    <row r="11" spans="1:36" ht="12" customHeight="1" x14ac:dyDescent="0.2">
      <c r="A11" s="21" t="s">
        <v>49</v>
      </c>
      <c r="B11" s="22" t="s">
        <v>50</v>
      </c>
      <c r="T11" s="58">
        <v>10</v>
      </c>
      <c r="U11" s="58" t="s">
        <v>88</v>
      </c>
    </row>
    <row r="12" spans="1:36" ht="7.5" customHeight="1" x14ac:dyDescent="0.2">
      <c r="A12" s="22"/>
      <c r="B12" s="22"/>
      <c r="T12" s="58">
        <v>11</v>
      </c>
      <c r="U12" s="58" t="s">
        <v>89</v>
      </c>
    </row>
    <row r="13" spans="1:36" ht="13.5" customHeight="1" x14ac:dyDescent="0.2">
      <c r="A13" s="131" t="s">
        <v>98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T13" s="58">
        <v>12</v>
      </c>
      <c r="U13" s="58" t="s">
        <v>90</v>
      </c>
    </row>
    <row r="14" spans="1:36" ht="13.5" hidden="1" customHeight="1" x14ac:dyDescent="0.25">
      <c r="A14" s="139" t="s">
        <v>97</v>
      </c>
      <c r="B14" s="140"/>
      <c r="C14" s="140"/>
      <c r="D14" s="66"/>
      <c r="E14" s="64"/>
      <c r="F14" s="64"/>
      <c r="G14" s="64"/>
      <c r="H14" s="64"/>
      <c r="I14" s="65" t="s">
        <v>96</v>
      </c>
      <c r="J14" s="66"/>
      <c r="K14" s="64"/>
      <c r="L14" s="62"/>
    </row>
    <row r="15" spans="1:36" ht="13.5" customHeight="1" x14ac:dyDescent="0.2">
      <c r="A15" s="141" t="s">
        <v>99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3"/>
    </row>
    <row r="16" spans="1:36" x14ac:dyDescent="0.2">
      <c r="A16" s="24" t="s">
        <v>75</v>
      </c>
      <c r="B16" s="25" t="s">
        <v>76</v>
      </c>
      <c r="C16" s="135">
        <v>45170</v>
      </c>
      <c r="D16" s="135"/>
      <c r="E16" s="26" t="s">
        <v>77</v>
      </c>
      <c r="F16" s="26"/>
      <c r="G16" s="136">
        <f>DATE(YEAR(C16)+1,MONTH(C16),0)</f>
        <v>45535</v>
      </c>
      <c r="H16" s="136"/>
      <c r="I16" s="26"/>
      <c r="J16" s="26"/>
      <c r="K16" s="26"/>
      <c r="L16" s="27"/>
    </row>
    <row r="17" spans="1:37" ht="15" customHeight="1" x14ac:dyDescent="0.2">
      <c r="A17" s="131" t="s">
        <v>45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28"/>
    </row>
    <row r="18" spans="1:37" ht="15" x14ac:dyDescent="0.2">
      <c r="A18" s="29" t="s">
        <v>62</v>
      </c>
      <c r="B18" s="134"/>
      <c r="C18" s="134"/>
      <c r="D18" s="134"/>
      <c r="E18" s="134"/>
      <c r="F18" s="29"/>
      <c r="G18" s="132" t="s">
        <v>68</v>
      </c>
      <c r="H18" s="133"/>
      <c r="I18" s="122"/>
      <c r="J18" s="121"/>
      <c r="K18" s="121"/>
      <c r="L18" s="121"/>
      <c r="M18" s="30"/>
      <c r="AK18" s="166" t="str">
        <f>IF(OR(B18="",B20="",B21="",B22="",B23="",I18="",I20="",I22="",I23="",B26="",B27="",I26="",B25="",AJ19=0,),"Pola zielone są obowiązkowe do wypełnienia","")</f>
        <v>Pola zielone są obowiązkowe do wypełnienia</v>
      </c>
    </row>
    <row r="19" spans="1:37" ht="15" x14ac:dyDescent="0.2">
      <c r="A19" s="29" t="s">
        <v>10</v>
      </c>
      <c r="B19" s="120"/>
      <c r="C19" s="121"/>
      <c r="D19" s="121"/>
      <c r="E19" s="121"/>
      <c r="F19" s="29"/>
      <c r="G19" s="132" t="s">
        <v>5</v>
      </c>
      <c r="H19" s="133"/>
      <c r="I19" s="122"/>
      <c r="J19" s="121"/>
      <c r="K19" s="121"/>
      <c r="L19" s="121"/>
      <c r="M19" s="30"/>
      <c r="AJ19" s="68">
        <f>B19+I19</f>
        <v>0</v>
      </c>
      <c r="AK19" s="166"/>
    </row>
    <row r="20" spans="1:37" ht="15" x14ac:dyDescent="0.2">
      <c r="A20" s="29" t="s">
        <v>63</v>
      </c>
      <c r="B20" s="120"/>
      <c r="C20" s="121"/>
      <c r="D20" s="121"/>
      <c r="E20" s="121"/>
      <c r="F20" s="29"/>
      <c r="G20" s="132" t="s">
        <v>69</v>
      </c>
      <c r="H20" s="133"/>
      <c r="I20" s="122"/>
      <c r="J20" s="121"/>
      <c r="K20" s="121"/>
      <c r="L20" s="121"/>
      <c r="M20" s="30"/>
      <c r="AK20" s="166"/>
    </row>
    <row r="21" spans="1:37" ht="15" x14ac:dyDescent="0.2">
      <c r="A21" s="29" t="s">
        <v>64</v>
      </c>
      <c r="B21" s="120"/>
      <c r="C21" s="121"/>
      <c r="D21" s="121"/>
      <c r="E21" s="121"/>
      <c r="F21" s="29"/>
      <c r="G21" s="150" t="s">
        <v>70</v>
      </c>
      <c r="H21" s="138"/>
      <c r="I21" s="120"/>
      <c r="J21" s="121"/>
      <c r="K21" s="121"/>
      <c r="L21" s="121"/>
      <c r="M21" s="30"/>
      <c r="AK21" s="166"/>
    </row>
    <row r="22" spans="1:37" ht="15" customHeight="1" x14ac:dyDescent="0.25">
      <c r="A22" s="29" t="s">
        <v>65</v>
      </c>
      <c r="B22" s="120"/>
      <c r="C22" s="121"/>
      <c r="D22" s="121"/>
      <c r="E22" s="121"/>
      <c r="F22" s="29"/>
      <c r="G22" s="127" t="s">
        <v>103</v>
      </c>
      <c r="H22" s="128"/>
      <c r="I22" s="120"/>
      <c r="J22" s="121"/>
      <c r="K22" s="121"/>
      <c r="L22" s="121"/>
      <c r="M22" s="30"/>
      <c r="AK22" s="166"/>
    </row>
    <row r="23" spans="1:37" ht="16.5" customHeight="1" x14ac:dyDescent="0.2">
      <c r="A23" s="29" t="s">
        <v>66</v>
      </c>
      <c r="B23" s="120"/>
      <c r="C23" s="121"/>
      <c r="D23" s="121"/>
      <c r="E23" s="121"/>
      <c r="F23" s="29"/>
      <c r="G23" s="137" t="s">
        <v>67</v>
      </c>
      <c r="H23" s="138"/>
      <c r="I23" s="120"/>
      <c r="J23" s="121"/>
      <c r="K23" s="121"/>
      <c r="L23" s="121"/>
      <c r="M23" s="30"/>
      <c r="P23" s="56" t="s">
        <v>74</v>
      </c>
      <c r="Q23" s="57">
        <v>2</v>
      </c>
      <c r="AK23" s="166"/>
    </row>
    <row r="24" spans="1:37" ht="15" x14ac:dyDescent="0.2">
      <c r="A24" s="131" t="s">
        <v>12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30"/>
      <c r="P24" s="57">
        <v>1</v>
      </c>
      <c r="Q24" s="57" t="s">
        <v>14</v>
      </c>
      <c r="AK24" s="166"/>
    </row>
    <row r="25" spans="1:37" ht="24.75" customHeight="1" x14ac:dyDescent="0.25">
      <c r="A25" s="63" t="s">
        <v>93</v>
      </c>
      <c r="B25" s="148">
        <v>45022</v>
      </c>
      <c r="C25" s="149"/>
      <c r="D25" s="124" t="s">
        <v>104</v>
      </c>
      <c r="E25" s="125"/>
      <c r="F25" s="125"/>
      <c r="G25" s="125"/>
      <c r="H25" s="125"/>
      <c r="I25" s="125"/>
      <c r="J25" s="125"/>
      <c r="K25" s="125"/>
      <c r="L25" s="126"/>
      <c r="M25" s="28"/>
      <c r="P25" s="57">
        <v>2</v>
      </c>
      <c r="Q25" s="57" t="s">
        <v>15</v>
      </c>
      <c r="AK25" s="166"/>
    </row>
    <row r="26" spans="1:37" ht="14.25" customHeight="1" x14ac:dyDescent="0.2">
      <c r="A26" s="32" t="s">
        <v>73</v>
      </c>
      <c r="B26" s="91"/>
      <c r="C26" s="91"/>
      <c r="D26" s="91"/>
      <c r="E26" s="91"/>
      <c r="F26" s="69"/>
      <c r="G26" s="96" t="s">
        <v>71</v>
      </c>
      <c r="H26" s="97"/>
      <c r="I26" s="123"/>
      <c r="J26" s="91"/>
      <c r="K26" s="91"/>
      <c r="L26" s="91"/>
      <c r="M26" s="1"/>
      <c r="N26" s="1"/>
      <c r="W26" s="58" t="s">
        <v>21</v>
      </c>
      <c r="X26" s="58">
        <v>3</v>
      </c>
      <c r="AK26" s="166"/>
    </row>
    <row r="27" spans="1:37" ht="12" x14ac:dyDescent="0.2">
      <c r="A27" s="32" t="s">
        <v>107</v>
      </c>
      <c r="B27" s="91"/>
      <c r="C27" s="91"/>
      <c r="D27" s="91"/>
      <c r="E27" s="91"/>
      <c r="F27" s="69"/>
      <c r="G27" s="96" t="s">
        <v>1</v>
      </c>
      <c r="H27" s="97"/>
      <c r="I27" s="84"/>
      <c r="J27" s="85"/>
      <c r="K27" s="85"/>
      <c r="L27" s="85"/>
      <c r="M27" s="70"/>
      <c r="N27" s="71"/>
      <c r="O27" s="60"/>
      <c r="P27" s="59" t="s">
        <v>13</v>
      </c>
      <c r="Q27" s="59">
        <v>1</v>
      </c>
      <c r="R27" s="60"/>
      <c r="S27" s="60"/>
      <c r="T27" s="60"/>
      <c r="U27" s="60"/>
      <c r="V27" s="60"/>
      <c r="W27" s="60">
        <v>1</v>
      </c>
      <c r="X27" s="60" t="str">
        <f>IF(Q27=1,"WARIANT I",IF(Q27=2,"WARIANT I",IF(Q27=3,"WARIANT I",)))</f>
        <v>WARIANT I</v>
      </c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K27" s="166"/>
    </row>
    <row r="28" spans="1:37" ht="12.75" customHeight="1" x14ac:dyDescent="0.2">
      <c r="A28" s="32" t="s">
        <v>72</v>
      </c>
      <c r="B28" s="92">
        <f>DATEDIF(B25,C16,"m")</f>
        <v>4</v>
      </c>
      <c r="C28" s="92"/>
      <c r="D28" s="92"/>
      <c r="E28" s="92"/>
      <c r="F28" s="31"/>
      <c r="G28" s="95" t="s">
        <v>61</v>
      </c>
      <c r="H28" s="95"/>
      <c r="I28" s="93"/>
      <c r="J28" s="94"/>
      <c r="K28" s="94"/>
      <c r="L28" s="94"/>
      <c r="M28" s="72"/>
      <c r="N28" s="71"/>
      <c r="O28" s="58"/>
      <c r="P28" s="58">
        <v>1</v>
      </c>
      <c r="Q28" s="61" t="s">
        <v>18</v>
      </c>
      <c r="W28" s="58">
        <v>2</v>
      </c>
      <c r="X28" s="58" t="str">
        <f>IF(Q27=1,"WARIANT II",IF(Q27=2,"",IF(Q27=3,"WARIANT II",)))</f>
        <v>WARIANT II</v>
      </c>
      <c r="AK28" s="166"/>
    </row>
    <row r="29" spans="1:37" ht="12.75" customHeight="1" x14ac:dyDescent="0.2">
      <c r="A29" s="33" t="s">
        <v>16</v>
      </c>
      <c r="B29" s="151"/>
      <c r="C29" s="152"/>
      <c r="D29" s="152"/>
      <c r="E29" s="152"/>
      <c r="F29" s="34"/>
      <c r="G29" s="95" t="s">
        <v>43</v>
      </c>
      <c r="H29" s="95"/>
      <c r="I29" s="54"/>
      <c r="J29" s="54"/>
      <c r="K29" s="54"/>
      <c r="L29" s="55"/>
      <c r="M29" s="72"/>
      <c r="N29" s="71"/>
      <c r="O29" s="58"/>
      <c r="P29" s="58">
        <v>2</v>
      </c>
      <c r="Q29" s="56" t="s">
        <v>19</v>
      </c>
      <c r="W29" s="58">
        <v>3</v>
      </c>
      <c r="X29" s="58" t="str">
        <f>IF(Q27=1,"WARIANT III",IF(Q27=2,"",IF(Q27=3,"WARIANT III",)))</f>
        <v>WARIANT III</v>
      </c>
      <c r="AK29" s="166"/>
    </row>
    <row r="30" spans="1:37" ht="12" customHeight="1" x14ac:dyDescent="0.2">
      <c r="A30" s="145" t="s">
        <v>44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7"/>
      <c r="M30" s="72"/>
      <c r="N30" s="71"/>
      <c r="O30" s="58"/>
      <c r="P30" s="58">
        <v>3</v>
      </c>
      <c r="Q30" s="56" t="s">
        <v>20</v>
      </c>
      <c r="W30" s="58">
        <v>4</v>
      </c>
      <c r="X30" s="58" t="str">
        <f>IF(Q27=1,"WARIANT IV",IF(Q27=2,"",IF(Q27=3,"",)))</f>
        <v>WARIANT IV</v>
      </c>
    </row>
    <row r="31" spans="1:37" ht="19.5" customHeight="1" x14ac:dyDescent="0.2">
      <c r="A31" s="35" t="s">
        <v>22</v>
      </c>
      <c r="B31" s="86"/>
      <c r="C31" s="87"/>
      <c r="D31" s="87"/>
      <c r="E31" s="87"/>
      <c r="F31" s="36"/>
      <c r="G31" s="79" t="s">
        <v>100</v>
      </c>
      <c r="H31" s="80"/>
      <c r="I31" s="81" t="str">
        <f>IF(AK18="",IF(B28&gt;119,"BRAK MOŻLIWOŚCI UBEZPIECZENIA",Arkusz3!B12),"Wypełnij wszystkie pola")</f>
        <v>Wypełnij wszystkie pola</v>
      </c>
      <c r="J31" s="82"/>
      <c r="K31" s="82"/>
      <c r="L31" s="82"/>
      <c r="M31" s="37"/>
      <c r="O31" s="58"/>
      <c r="P31" s="58"/>
      <c r="W31" s="58">
        <v>5</v>
      </c>
      <c r="X31" s="58" t="str">
        <f>IF(Q27=1,"WARIANT V",IF(Q27=2,"",IF(Q27=3,"",)))</f>
        <v>WARIANT V</v>
      </c>
    </row>
    <row r="32" spans="1:37" ht="12" customHeight="1" x14ac:dyDescent="0.2">
      <c r="A32" s="145" t="s">
        <v>25</v>
      </c>
      <c r="B32" s="146"/>
      <c r="C32" s="146"/>
      <c r="D32" s="146"/>
      <c r="E32" s="146"/>
      <c r="F32" s="38"/>
      <c r="G32" s="110" t="s">
        <v>0</v>
      </c>
      <c r="H32" s="111"/>
      <c r="I32" s="111"/>
      <c r="J32" s="111"/>
      <c r="K32" s="111"/>
      <c r="L32" s="112"/>
      <c r="M32" s="39"/>
      <c r="O32" s="58"/>
      <c r="P32" s="58"/>
    </row>
    <row r="33" spans="1:25" ht="13.5" customHeight="1" x14ac:dyDescent="0.2">
      <c r="A33" s="88" t="s">
        <v>59</v>
      </c>
      <c r="B33" s="89"/>
      <c r="C33" s="89"/>
      <c r="D33" s="89"/>
      <c r="E33" s="90"/>
      <c r="F33" s="13"/>
      <c r="G33" s="98">
        <f>IF(B28&gt;119,"BRAK MOŻLIWOŚCI UBEZPIECZENIA",Arkusz3!B3)</f>
        <v>5000</v>
      </c>
      <c r="H33" s="99"/>
      <c r="I33" s="99"/>
      <c r="J33" s="99"/>
      <c r="K33" s="99"/>
      <c r="L33" s="100"/>
      <c r="M33" s="39"/>
      <c r="O33" s="58"/>
      <c r="P33" s="56" t="s">
        <v>11</v>
      </c>
      <c r="Q33" s="57">
        <v>2</v>
      </c>
      <c r="U33" s="58" t="s">
        <v>36</v>
      </c>
    </row>
    <row r="34" spans="1:25" ht="13.5" customHeight="1" x14ac:dyDescent="0.25">
      <c r="A34" s="88" t="s">
        <v>27</v>
      </c>
      <c r="B34" s="89"/>
      <c r="C34" s="89"/>
      <c r="D34" s="89"/>
      <c r="E34" s="90"/>
      <c r="F34" s="40"/>
      <c r="G34" s="101"/>
      <c r="H34" s="102"/>
      <c r="I34" s="102"/>
      <c r="J34" s="102"/>
      <c r="K34" s="102"/>
      <c r="L34" s="103"/>
      <c r="M34" s="39"/>
      <c r="P34" s="57">
        <v>1</v>
      </c>
      <c r="Q34" s="57" t="s">
        <v>14</v>
      </c>
      <c r="V34" s="58">
        <v>2</v>
      </c>
      <c r="W34" s="58">
        <v>2</v>
      </c>
      <c r="X34" s="58">
        <v>2</v>
      </c>
      <c r="Y34" s="58">
        <v>2</v>
      </c>
    </row>
    <row r="35" spans="1:25" ht="13.5" customHeight="1" x14ac:dyDescent="0.25">
      <c r="A35" s="88" t="s">
        <v>28</v>
      </c>
      <c r="B35" s="89"/>
      <c r="C35" s="89"/>
      <c r="D35" s="89"/>
      <c r="E35" s="90"/>
      <c r="F35" s="40"/>
      <c r="G35" s="101"/>
      <c r="H35" s="102"/>
      <c r="I35" s="102"/>
      <c r="J35" s="102"/>
      <c r="K35" s="102"/>
      <c r="L35" s="103"/>
      <c r="M35" s="39"/>
      <c r="P35" s="57">
        <v>2</v>
      </c>
      <c r="Q35" s="57" t="s">
        <v>15</v>
      </c>
      <c r="U35" s="58">
        <v>1</v>
      </c>
      <c r="V35" s="58" t="s">
        <v>14</v>
      </c>
      <c r="W35" s="58" t="s">
        <v>14</v>
      </c>
      <c r="X35" s="58" t="s">
        <v>14</v>
      </c>
      <c r="Y35" s="58" t="s">
        <v>14</v>
      </c>
    </row>
    <row r="36" spans="1:25" ht="13.5" customHeight="1" x14ac:dyDescent="0.2">
      <c r="A36" s="88" t="s">
        <v>29</v>
      </c>
      <c r="B36" s="89"/>
      <c r="C36" s="89"/>
      <c r="D36" s="89"/>
      <c r="E36" s="90"/>
      <c r="F36" s="14"/>
      <c r="G36" s="101"/>
      <c r="H36" s="102"/>
      <c r="I36" s="102"/>
      <c r="J36" s="102"/>
      <c r="K36" s="102"/>
      <c r="L36" s="103"/>
      <c r="M36" s="39"/>
      <c r="U36" s="58">
        <v>2</v>
      </c>
      <c r="V36" s="58" t="s">
        <v>15</v>
      </c>
      <c r="W36" s="58" t="s">
        <v>15</v>
      </c>
      <c r="X36" s="58" t="s">
        <v>15</v>
      </c>
      <c r="Y36" s="58" t="s">
        <v>15</v>
      </c>
    </row>
    <row r="37" spans="1:25" ht="13.5" customHeight="1" x14ac:dyDescent="0.2">
      <c r="A37" s="88" t="s">
        <v>30</v>
      </c>
      <c r="B37" s="89"/>
      <c r="C37" s="89"/>
      <c r="D37" s="89"/>
      <c r="E37" s="90"/>
      <c r="F37" s="14"/>
      <c r="G37" s="101"/>
      <c r="H37" s="102"/>
      <c r="I37" s="102"/>
      <c r="J37" s="102"/>
      <c r="K37" s="102"/>
      <c r="L37" s="103"/>
      <c r="M37" s="39"/>
      <c r="P37" s="57" t="s">
        <v>1</v>
      </c>
      <c r="Q37" s="57">
        <v>1</v>
      </c>
      <c r="X37" s="58">
        <f>IF(X34=1,IF(Y34=2,1,2),2)</f>
        <v>2</v>
      </c>
      <c r="Y37" s="58">
        <f>IF(X34=2,IF(Y34=1,1,2),2)</f>
        <v>2</v>
      </c>
    </row>
    <row r="38" spans="1:25" ht="21.75" customHeight="1" x14ac:dyDescent="0.2">
      <c r="A38" s="88" t="s">
        <v>31</v>
      </c>
      <c r="B38" s="89"/>
      <c r="C38" s="89"/>
      <c r="D38" s="89"/>
      <c r="E38" s="90"/>
      <c r="F38" s="14"/>
      <c r="G38" s="101"/>
      <c r="H38" s="102"/>
      <c r="I38" s="102"/>
      <c r="J38" s="102"/>
      <c r="K38" s="102"/>
      <c r="L38" s="103"/>
      <c r="M38" s="39"/>
      <c r="P38" s="57">
        <v>1</v>
      </c>
      <c r="Q38" s="57" t="s">
        <v>17</v>
      </c>
    </row>
    <row r="39" spans="1:25" ht="13.5" customHeight="1" x14ac:dyDescent="0.2">
      <c r="A39" s="88" t="s">
        <v>32</v>
      </c>
      <c r="B39" s="89"/>
      <c r="C39" s="89"/>
      <c r="D39" s="89"/>
      <c r="E39" s="90"/>
      <c r="F39" s="14"/>
      <c r="G39" s="101"/>
      <c r="H39" s="102"/>
      <c r="I39" s="102"/>
      <c r="J39" s="102"/>
      <c r="K39" s="102"/>
      <c r="L39" s="103"/>
      <c r="M39" s="39"/>
      <c r="P39" s="57">
        <v>2</v>
      </c>
      <c r="Q39" s="57" t="s">
        <v>60</v>
      </c>
    </row>
    <row r="40" spans="1:25" ht="13.5" hidden="1" customHeight="1" x14ac:dyDescent="0.2">
      <c r="A40" s="88" t="s">
        <v>33</v>
      </c>
      <c r="B40" s="89"/>
      <c r="C40" s="89"/>
      <c r="D40" s="89"/>
      <c r="E40" s="90"/>
      <c r="F40" s="14"/>
      <c r="G40" s="101"/>
      <c r="H40" s="102"/>
      <c r="I40" s="102"/>
      <c r="J40" s="102"/>
      <c r="K40" s="102"/>
      <c r="L40" s="103"/>
      <c r="M40" s="39"/>
      <c r="V40" s="58" t="str">
        <f>IF(B28&gt;83,"","TAK")</f>
        <v>TAK</v>
      </c>
      <c r="W40" s="58" t="str">
        <f>IF(B28&gt;83,"","TAK")</f>
        <v>TAK</v>
      </c>
      <c r="X40" s="58" t="str">
        <f>IF(Y34=1,"NIE",IF(B28&gt;83,"","TAK"))</f>
        <v>TAK</v>
      </c>
      <c r="Y40" s="58" t="str">
        <f>IF(X34=1,"NIE",IF(B28&gt;83,"","TAK"))</f>
        <v>TAK</v>
      </c>
    </row>
    <row r="41" spans="1:25" ht="21.75" customHeight="1" x14ac:dyDescent="0.2">
      <c r="A41" s="88" t="s">
        <v>101</v>
      </c>
      <c r="B41" s="89"/>
      <c r="C41" s="89"/>
      <c r="D41" s="89"/>
      <c r="E41" s="90"/>
      <c r="F41" s="14"/>
      <c r="G41" s="104">
        <f>Arkusz3!B11</f>
        <v>500</v>
      </c>
      <c r="H41" s="105"/>
      <c r="I41" s="105"/>
      <c r="J41" s="105"/>
      <c r="K41" s="105"/>
      <c r="L41" s="106"/>
      <c r="M41" s="41"/>
      <c r="V41" s="58" t="str">
        <f>IF(B28&gt;83,"","NIE")</f>
        <v>NIE</v>
      </c>
      <c r="W41" s="58" t="str">
        <f>IF(B28&gt;83,"","NIE")</f>
        <v>NIE</v>
      </c>
      <c r="X41" s="58" t="str">
        <f>IF(B28&gt;83,"","NIE")</f>
        <v>NIE</v>
      </c>
      <c r="Y41" s="58" t="str">
        <f>IF(B28&gt;83,"","NIE")</f>
        <v>NIE</v>
      </c>
    </row>
    <row r="42" spans="1:25" hidden="1" x14ac:dyDescent="0.2">
      <c r="A42" s="119">
        <v>44593</v>
      </c>
      <c r="B42" s="119"/>
      <c r="C42" s="119"/>
      <c r="D42" s="119"/>
      <c r="E42" s="153">
        <f>A42+364</f>
        <v>44957</v>
      </c>
      <c r="F42" s="154"/>
      <c r="G42" s="154"/>
      <c r="H42" s="154"/>
      <c r="I42" s="154"/>
      <c r="J42" s="155">
        <f>E42-A42+1</f>
        <v>365</v>
      </c>
      <c r="K42" s="155"/>
      <c r="L42" s="155"/>
      <c r="M42" s="42"/>
    </row>
    <row r="43" spans="1:25" ht="12" customHeight="1" x14ac:dyDescent="0.2">
      <c r="A43" s="146" t="s">
        <v>41</v>
      </c>
      <c r="B43" s="108"/>
      <c r="C43" s="108"/>
      <c r="D43" s="108"/>
      <c r="E43" s="108"/>
      <c r="F43" s="108"/>
      <c r="G43" s="108"/>
      <c r="H43" s="108"/>
      <c r="I43" s="107" t="s">
        <v>46</v>
      </c>
      <c r="J43" s="108"/>
      <c r="K43" s="107" t="s">
        <v>42</v>
      </c>
      <c r="L43" s="108"/>
      <c r="M43" s="28"/>
    </row>
    <row r="44" spans="1:25" ht="9.75" customHeight="1" x14ac:dyDescent="0.2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43"/>
    </row>
    <row r="45" spans="1:25" ht="25.5" hidden="1" customHeight="1" x14ac:dyDescent="0.2">
      <c r="A45" s="44"/>
      <c r="B45" s="44"/>
      <c r="C45" s="44"/>
      <c r="D45" s="44"/>
      <c r="E45" s="44"/>
      <c r="F45" s="44"/>
      <c r="G45" s="44"/>
      <c r="H45" s="44"/>
      <c r="I45" s="162"/>
      <c r="J45" s="162"/>
      <c r="K45" s="83"/>
      <c r="L45" s="83"/>
      <c r="M45" s="39"/>
    </row>
    <row r="46" spans="1:25" ht="19.5" customHeight="1" x14ac:dyDescent="0.25">
      <c r="A46" s="116" t="s">
        <v>58</v>
      </c>
      <c r="B46" s="117"/>
      <c r="C46" s="117"/>
      <c r="D46" s="117"/>
      <c r="E46" s="117"/>
      <c r="F46" s="117"/>
      <c r="G46" s="117"/>
      <c r="H46" s="117"/>
      <c r="I46" s="75" t="str">
        <f>IF(V34=1,Arkusz3!B16,"  ")</f>
        <v xml:space="preserve">  </v>
      </c>
      <c r="J46" s="76"/>
      <c r="K46" s="77" t="str">
        <f>IF(B28&gt;83,"",IF(V34=1,Arkusz3!B17,""))</f>
        <v/>
      </c>
      <c r="L46" s="78"/>
      <c r="M46" s="45"/>
    </row>
    <row r="47" spans="1:25" ht="17.25" customHeight="1" x14ac:dyDescent="0.25">
      <c r="A47" s="116" t="s">
        <v>38</v>
      </c>
      <c r="B47" s="117"/>
      <c r="C47" s="117"/>
      <c r="D47" s="117"/>
      <c r="E47" s="117"/>
      <c r="F47" s="117"/>
      <c r="G47" s="117"/>
      <c r="H47" s="117"/>
      <c r="I47" s="75" t="str">
        <f>IF(W34=1,Arkusz3!B18,"")</f>
        <v/>
      </c>
      <c r="J47" s="76"/>
      <c r="K47" s="77" t="str">
        <f>IF(B28&gt;83,"",IF(W34=1,Arkusz3!B19,""))</f>
        <v/>
      </c>
      <c r="L47" s="78"/>
      <c r="M47" s="45"/>
    </row>
    <row r="48" spans="1:25" ht="13.5" customHeight="1" x14ac:dyDescent="0.2">
      <c r="A48" s="159" t="s">
        <v>102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1"/>
      <c r="M48" s="45"/>
    </row>
    <row r="49" spans="1:14" ht="18" customHeight="1" x14ac:dyDescent="0.25">
      <c r="A49" s="116" t="s">
        <v>39</v>
      </c>
      <c r="B49" s="117"/>
      <c r="C49" s="117"/>
      <c r="D49" s="117"/>
      <c r="E49" s="117"/>
      <c r="F49" s="117"/>
      <c r="G49" s="117"/>
      <c r="H49" s="117"/>
      <c r="I49" s="75" t="str">
        <f>IF(X37=1,Arkusz3!B20,"")</f>
        <v/>
      </c>
      <c r="J49" s="76"/>
      <c r="K49" s="77" t="str">
        <f>IF(X37=1,Arkusz3!B21,"")</f>
        <v/>
      </c>
      <c r="L49" s="78"/>
      <c r="M49" s="144"/>
      <c r="N49" s="17"/>
    </row>
    <row r="50" spans="1:14" ht="21" customHeight="1" thickBot="1" x14ac:dyDescent="0.3">
      <c r="A50" s="116" t="s">
        <v>40</v>
      </c>
      <c r="B50" s="117"/>
      <c r="C50" s="117"/>
      <c r="D50" s="117"/>
      <c r="E50" s="117"/>
      <c r="F50" s="117"/>
      <c r="G50" s="117"/>
      <c r="H50" s="117"/>
      <c r="I50" s="75" t="str">
        <f>IF(Y37=1,Arkusz3!B22,"")</f>
        <v/>
      </c>
      <c r="J50" s="76"/>
      <c r="K50" s="77" t="str">
        <f>IF(Y37=1,Arkusz3!B23,"")</f>
        <v/>
      </c>
      <c r="L50" s="78"/>
      <c r="M50" s="144"/>
      <c r="N50" s="17"/>
    </row>
    <row r="51" spans="1:14" ht="6" hidden="1" customHeight="1" thickBo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</row>
    <row r="52" spans="1:14" ht="15" customHeight="1" thickBot="1" x14ac:dyDescent="0.3">
      <c r="A52" s="47" t="s">
        <v>3</v>
      </c>
      <c r="B52" s="48"/>
      <c r="C52" s="48"/>
      <c r="D52" s="156" t="str">
        <f>IF(AK18="",I31+IF(K46="",0,K46)+IF(K47="",0,K47)+IF(K49="",0,K49)+IF(K50="",0,K50),"Wypełnij wszystkie pola")</f>
        <v>Wypełnij wszystkie pola</v>
      </c>
      <c r="E52" s="157"/>
      <c r="F52" s="157"/>
      <c r="G52" s="158"/>
      <c r="H52" s="48"/>
      <c r="I52" s="48"/>
      <c r="J52" s="48"/>
      <c r="K52" s="48"/>
      <c r="L52" s="48"/>
      <c r="M52" s="48"/>
    </row>
    <row r="53" spans="1:14" ht="15" customHeight="1" x14ac:dyDescent="0.25">
      <c r="A53" s="49" t="s">
        <v>105</v>
      </c>
      <c r="B53" s="48"/>
      <c r="C53" s="48"/>
      <c r="D53" s="48"/>
      <c r="E53" s="118" t="s">
        <v>106</v>
      </c>
      <c r="F53" s="118"/>
      <c r="G53" s="118"/>
      <c r="H53" s="118"/>
      <c r="I53" s="118"/>
      <c r="J53" s="118"/>
      <c r="K53" s="118"/>
      <c r="L53" s="118"/>
      <c r="M53" s="48"/>
    </row>
    <row r="54" spans="1:14" ht="7.5" hidden="1" customHeight="1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4" ht="12.75" customHeight="1" x14ac:dyDescent="0.25">
      <c r="A55" s="50" t="s">
        <v>52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4" ht="23.25" customHeight="1" x14ac:dyDescent="0.2">
      <c r="A56" s="73" t="s">
        <v>94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51"/>
    </row>
    <row r="57" spans="1:14" ht="33" customHeight="1" x14ac:dyDescent="0.2">
      <c r="A57" s="73" t="s">
        <v>95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51"/>
    </row>
    <row r="58" spans="1:14" ht="10.5" customHeight="1" x14ac:dyDescent="0.2">
      <c r="A58" s="73" t="s">
        <v>108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67"/>
    </row>
    <row r="59" spans="1:14" ht="23.25" customHeight="1" x14ac:dyDescent="0.2">
      <c r="A59" s="73" t="s">
        <v>109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51"/>
    </row>
    <row r="60" spans="1:14" ht="21" customHeight="1" x14ac:dyDescent="0.2">
      <c r="A60" s="73" t="s">
        <v>110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51"/>
    </row>
    <row r="61" spans="1:14" ht="1.5" customHeight="1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</row>
    <row r="62" spans="1:14" ht="33.75" customHeight="1" x14ac:dyDescent="0.2">
      <c r="A62" s="113">
        <f ca="1">TODAY()</f>
        <v>45226</v>
      </c>
      <c r="B62" s="114"/>
      <c r="C62" s="114"/>
      <c r="D62" s="114"/>
      <c r="E62" s="114"/>
      <c r="F62" s="114"/>
      <c r="G62" s="114"/>
      <c r="H62" s="52"/>
      <c r="I62" s="115" t="s">
        <v>4</v>
      </c>
      <c r="J62" s="115"/>
      <c r="K62" s="115"/>
      <c r="L62" s="115"/>
      <c r="M62" s="16"/>
    </row>
    <row r="71" spans="1:1" ht="13.5" customHeight="1" x14ac:dyDescent="0.2"/>
    <row r="72" spans="1:1" ht="16.5" customHeight="1" x14ac:dyDescent="0.2"/>
    <row r="73" spans="1:1" ht="12.75" x14ac:dyDescent="0.2">
      <c r="A73" s="53"/>
    </row>
    <row r="74" spans="1:1" ht="12.75" x14ac:dyDescent="0.2">
      <c r="A74" s="53"/>
    </row>
    <row r="75" spans="1:1" ht="12.75" x14ac:dyDescent="0.2">
      <c r="A75" s="23"/>
    </row>
    <row r="81" spans="1:1" ht="12.75" x14ac:dyDescent="0.2">
      <c r="A81" s="23"/>
    </row>
    <row r="82" spans="1:1" ht="12.75" x14ac:dyDescent="0.2">
      <c r="A82" s="23"/>
    </row>
    <row r="83" spans="1:1" ht="12.75" x14ac:dyDescent="0.2">
      <c r="A83" s="23"/>
    </row>
  </sheetData>
  <sheetProtection algorithmName="SHA-512" hashValue="mTbkcBdSJr4SlHPFj9W9HMvacJmQ5lV8u71cYyEiyU4oKkqTf8vEWfds8Zho8/MnCWQn7sGkcSKuWMwJm0Racg==" saltValue="36mSbRhirlo4VNOe4GUIwg==" spinCount="100000" sheet="1" objects="1" scenarios="1" autoFilter="0"/>
  <mergeCells count="89">
    <mergeCell ref="E42:I42"/>
    <mergeCell ref="J42:L42"/>
    <mergeCell ref="D52:G52"/>
    <mergeCell ref="A48:L48"/>
    <mergeCell ref="A43:H44"/>
    <mergeCell ref="I43:J44"/>
    <mergeCell ref="K47:L47"/>
    <mergeCell ref="I45:J45"/>
    <mergeCell ref="A15:L15"/>
    <mergeCell ref="M49:M50"/>
    <mergeCell ref="G29:H29"/>
    <mergeCell ref="A30:L30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B25:C25"/>
    <mergeCell ref="G21:H21"/>
    <mergeCell ref="B29:E29"/>
    <mergeCell ref="A7:L7"/>
    <mergeCell ref="A24:L24"/>
    <mergeCell ref="G20:H20"/>
    <mergeCell ref="G19:H19"/>
    <mergeCell ref="A17:L17"/>
    <mergeCell ref="B18:E18"/>
    <mergeCell ref="I18:L18"/>
    <mergeCell ref="G18:H18"/>
    <mergeCell ref="A13:L13"/>
    <mergeCell ref="C16:D16"/>
    <mergeCell ref="G16:H16"/>
    <mergeCell ref="B23:E23"/>
    <mergeCell ref="I23:L23"/>
    <mergeCell ref="G23:H23"/>
    <mergeCell ref="B22:E22"/>
    <mergeCell ref="A14:C14"/>
    <mergeCell ref="B20:E20"/>
    <mergeCell ref="I19:L19"/>
    <mergeCell ref="I20:L20"/>
    <mergeCell ref="I22:L22"/>
    <mergeCell ref="I26:L26"/>
    <mergeCell ref="D25:L25"/>
    <mergeCell ref="B19:E19"/>
    <mergeCell ref="B21:E21"/>
    <mergeCell ref="I21:L21"/>
    <mergeCell ref="G22:H22"/>
    <mergeCell ref="B26:E26"/>
    <mergeCell ref="G26:H26"/>
    <mergeCell ref="G33:L40"/>
    <mergeCell ref="G41:L41"/>
    <mergeCell ref="K43:L44"/>
    <mergeCell ref="G32:L32"/>
    <mergeCell ref="A62:G62"/>
    <mergeCell ref="I62:L62"/>
    <mergeCell ref="A47:H47"/>
    <mergeCell ref="A49:H49"/>
    <mergeCell ref="A50:H50"/>
    <mergeCell ref="I50:J50"/>
    <mergeCell ref="K50:L50"/>
    <mergeCell ref="I47:J47"/>
    <mergeCell ref="A58:L58"/>
    <mergeCell ref="E53:L53"/>
    <mergeCell ref="A46:H46"/>
    <mergeCell ref="A42:D42"/>
    <mergeCell ref="B27:E27"/>
    <mergeCell ref="B28:E28"/>
    <mergeCell ref="I28:L28"/>
    <mergeCell ref="G28:H28"/>
    <mergeCell ref="G27:H27"/>
    <mergeCell ref="AK18:AK29"/>
    <mergeCell ref="M27:N30"/>
    <mergeCell ref="A59:L59"/>
    <mergeCell ref="A60:L60"/>
    <mergeCell ref="A56:L56"/>
    <mergeCell ref="A57:L57"/>
    <mergeCell ref="I49:J49"/>
    <mergeCell ref="K49:L49"/>
    <mergeCell ref="G31:H31"/>
    <mergeCell ref="I31:L31"/>
    <mergeCell ref="K45:L45"/>
    <mergeCell ref="K46:L46"/>
    <mergeCell ref="I46:J46"/>
    <mergeCell ref="I27:L27"/>
    <mergeCell ref="B31:E31"/>
    <mergeCell ref="A41:E41"/>
  </mergeCells>
  <conditionalFormatting sqref="B18:E23 B25 B26 B27 I26 I23 I22 I21 I20 I18">
    <cfRule type="containsBlanks" dxfId="0" priority="2">
      <formula>LEN(TRIM(B18))=0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firstPageNumber="0" orientation="portrait" verticalDpi="300" r:id="rId1"/>
  <headerFooter scaleWithDoc="0" alignWithMargins="0"/>
  <rowBreaks count="2" manualBreakCount="2">
    <brk id="61" max="11" man="1"/>
    <brk id="63" max="11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17">
              <controlPr locked="0" defaultSize="0" autoLine="0" autoPict="0">
                <anchor moveWithCells="1" sizeWithCells="1">
                  <from>
                    <xdr:col>0</xdr:col>
                    <xdr:colOff>1190625</xdr:colOff>
                    <xdr:row>28</xdr:row>
                    <xdr:rowOff>9525</xdr:rowOff>
                  </from>
                  <to>
                    <xdr:col>5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17">
              <controlPr locked="0" defaultSize="0" autoLine="0" autoPict="0">
                <anchor moveWithCells="1" sizeWithCells="1"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11</xdr:col>
                    <xdr:colOff>952500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locked="0" defaultSize="0" autoLine="0" autoPict="0">
                <anchor moveWithCells="1" sizeWithCells="1">
                  <from>
                    <xdr:col>0</xdr:col>
                    <xdr:colOff>1190625</xdr:colOff>
                    <xdr:row>30</xdr:row>
                    <xdr:rowOff>9525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45</xdr:row>
                    <xdr:rowOff>38100</xdr:rowOff>
                  </from>
                  <to>
                    <xdr:col>8</xdr:col>
                    <xdr:colOff>619125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46</xdr:row>
                    <xdr:rowOff>28575</xdr:rowOff>
                  </from>
                  <to>
                    <xdr:col>8</xdr:col>
                    <xdr:colOff>619125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48</xdr:row>
                    <xdr:rowOff>28575</xdr:rowOff>
                  </from>
                  <to>
                    <xdr:col>8</xdr:col>
                    <xdr:colOff>619125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Drop Down 17">
              <controlPr locked="0" defaultSize="0" autoLine="0" autoPict="0">
                <anchor moveWithCells="1" sizeWithCells="1">
                  <from>
                    <xdr:col>8</xdr:col>
                    <xdr:colOff>76200</xdr:colOff>
                    <xdr:row>49</xdr:row>
                    <xdr:rowOff>38100</xdr:rowOff>
                  </from>
                  <to>
                    <xdr:col>8</xdr:col>
                    <xdr:colOff>619125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Drop Down 13">
              <controlPr locked="0" defaultSize="0" autoLine="0" autoPict="0">
                <anchor moveWithCells="1" sizeWithCells="1">
                  <from>
                    <xdr:col>8</xdr:col>
                    <xdr:colOff>9525</xdr:colOff>
                    <xdr:row>26</xdr:row>
                    <xdr:rowOff>0</xdr:rowOff>
                  </from>
                  <to>
                    <xdr:col>11</xdr:col>
                    <xdr:colOff>952500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locked="0" defaultSize="0" autoLine="0" autoPict="0">
                <anchor moveWithCells="1" siz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11</xdr:col>
                    <xdr:colOff>942975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Drop Down 15">
              <controlPr locked="0" defaultSize="0" autoLine="0" autoPict="0">
                <anchor moveWithCells="1" sizeWithCells="1">
                  <from>
                    <xdr:col>3</xdr:col>
                    <xdr:colOff>123825</xdr:colOff>
                    <xdr:row>13</xdr:row>
                    <xdr:rowOff>0</xdr:rowOff>
                  </from>
                  <to>
                    <xdr:col>8</xdr:col>
                    <xdr:colOff>85725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Drop Down 16">
              <controlPr locked="0" defaultSize="0" autoLine="0" autoPict="0">
                <anchor moveWithCells="1" sizeWithCells="1">
                  <from>
                    <xdr:col>9</xdr:col>
                    <xdr:colOff>419100</xdr:colOff>
                    <xdr:row>13</xdr:row>
                    <xdr:rowOff>9525</xdr:rowOff>
                  </from>
                  <to>
                    <xdr:col>12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3" sqref="B3:B10"/>
    </sheetView>
  </sheetViews>
  <sheetFormatPr defaultRowHeight="15" x14ac:dyDescent="0.25"/>
  <cols>
    <col min="1" max="1" width="22.42578125" bestFit="1" customWidth="1"/>
    <col min="2" max="2" width="19.85546875" bestFit="1" customWidth="1"/>
  </cols>
  <sheetData>
    <row r="1" spans="1:10" x14ac:dyDescent="0.25">
      <c r="A1" s="3" t="s">
        <v>23</v>
      </c>
      <c r="B1" s="4" t="str">
        <f>VLOOKUP('Koła Łowieckie'!X26,'Koła Łowieckie'!W27:X31,2)</f>
        <v>WARIANT III</v>
      </c>
      <c r="C1" s="4"/>
      <c r="D1" s="4"/>
      <c r="E1" s="4"/>
      <c r="F1" s="4"/>
      <c r="I1">
        <v>1</v>
      </c>
    </row>
    <row r="2" spans="1:10" x14ac:dyDescent="0.25">
      <c r="A2" s="3" t="s">
        <v>25</v>
      </c>
      <c r="B2" s="4" t="s">
        <v>0</v>
      </c>
      <c r="C2" s="4"/>
      <c r="D2" s="4"/>
      <c r="E2" s="4"/>
      <c r="F2" s="4"/>
      <c r="H2">
        <f>'Koła Łowieckie'!$B$28</f>
        <v>4</v>
      </c>
      <c r="I2">
        <f>IF(AND(H2&gt;=H3,H2&lt;=I3),1,2)</f>
        <v>1</v>
      </c>
    </row>
    <row r="3" spans="1:10" ht="57.75" x14ac:dyDescent="0.25">
      <c r="A3" s="5" t="s">
        <v>26</v>
      </c>
      <c r="B3" s="163">
        <f>IF(AND(H2&gt;=84,I1=2),"BRAK MOŻLIWOŚCI PRZEDSTAWIENIA OFERTY",IF(H2&lt;=2,"BRAK MOŻLIWOŚCI PRZEDSTAWIENIA OFERTY",IF(H2&gt;=120,"",IF('Koła Łowieckie'!Q33=1,HLOOKUP('Koła Łowieckie'!X26,'Z CERTYFIKATEM'!C2:G22,2),IF('Koła Łowieckie'!Q33=2,HLOOKUP('Koła Łowieckie'!X26,'BEZ CERTYFIKATU'!C2:G22,2))))))</f>
        <v>5000</v>
      </c>
      <c r="C3" s="163"/>
      <c r="D3" s="163"/>
      <c r="E3" s="163"/>
      <c r="F3" s="163"/>
      <c r="G3">
        <v>1</v>
      </c>
      <c r="H3">
        <v>3</v>
      </c>
      <c r="I3">
        <v>83</v>
      </c>
      <c r="J3" t="s">
        <v>78</v>
      </c>
    </row>
    <row r="4" spans="1:10" ht="35.25" x14ac:dyDescent="0.25">
      <c r="A4" s="5" t="s">
        <v>27</v>
      </c>
      <c r="B4" s="164"/>
      <c r="C4" s="164"/>
      <c r="D4" s="164"/>
      <c r="E4" s="164"/>
      <c r="F4" s="164"/>
      <c r="G4">
        <v>2</v>
      </c>
      <c r="H4">
        <v>84</v>
      </c>
      <c r="I4">
        <v>119</v>
      </c>
    </row>
    <row r="5" spans="1:10" x14ac:dyDescent="0.25">
      <c r="A5" s="5" t="s">
        <v>28</v>
      </c>
      <c r="B5" s="164"/>
      <c r="C5" s="164"/>
      <c r="D5" s="164"/>
      <c r="E5" s="164"/>
      <c r="F5" s="164"/>
    </row>
    <row r="6" spans="1:10" ht="35.25" x14ac:dyDescent="0.25">
      <c r="A6" s="5" t="s">
        <v>29</v>
      </c>
      <c r="B6" s="164"/>
      <c r="C6" s="164"/>
      <c r="D6" s="164"/>
      <c r="E6" s="164"/>
      <c r="F6" s="164"/>
    </row>
    <row r="7" spans="1:10" ht="69" customHeight="1" x14ac:dyDescent="0.25">
      <c r="A7" s="5" t="s">
        <v>30</v>
      </c>
      <c r="B7" s="164"/>
      <c r="C7" s="164"/>
      <c r="D7" s="164"/>
      <c r="E7" s="164"/>
      <c r="F7" s="164"/>
    </row>
    <row r="8" spans="1:10" ht="46.5" x14ac:dyDescent="0.25">
      <c r="A8" s="5" t="s">
        <v>31</v>
      </c>
      <c r="B8" s="164"/>
      <c r="C8" s="164"/>
      <c r="D8" s="164"/>
      <c r="E8" s="164"/>
      <c r="F8" s="164"/>
    </row>
    <row r="9" spans="1:10" ht="35.25" x14ac:dyDescent="0.25">
      <c r="A9" s="5" t="s">
        <v>32</v>
      </c>
      <c r="B9" s="164"/>
      <c r="C9" s="164"/>
      <c r="D9" s="164"/>
      <c r="E9" s="164"/>
      <c r="F9" s="164"/>
    </row>
    <row r="10" spans="1:10" ht="24" x14ac:dyDescent="0.25">
      <c r="A10" s="5" t="s">
        <v>33</v>
      </c>
      <c r="B10" s="165"/>
      <c r="C10" s="165"/>
      <c r="D10" s="165"/>
      <c r="E10" s="165"/>
      <c r="F10" s="165"/>
    </row>
    <row r="11" spans="1:10" ht="35.25" x14ac:dyDescent="0.25">
      <c r="A11" s="5" t="s">
        <v>34</v>
      </c>
      <c r="B11" s="6">
        <f>IF(AND(H2&gt;=84,I1=2),"",IF(H2&lt;=2,"",IF(H2&gt;=120,"",IF('Koła Łowieckie'!Q33=1,HLOOKUP('Koła Łowieckie'!X26,'Z CERTYFIKATEM'!C2:G22,10),IF('Koła Łowieckie'!Q33=2,HLOOKUP('Koła Łowieckie'!X26,'BEZ CERTYFIKATU'!C2:G22,10))))))</f>
        <v>500</v>
      </c>
      <c r="C11" s="6"/>
      <c r="D11" s="6"/>
      <c r="E11" s="6"/>
      <c r="F11" s="6"/>
    </row>
    <row r="12" spans="1:10" x14ac:dyDescent="0.25">
      <c r="A12" s="3" t="s">
        <v>35</v>
      </c>
      <c r="B12" s="6">
        <f>IF(AND(H2&gt;=84,I1=2),"",IF(H2&lt;=2,"",IF(H2&gt;=120,"",IF('Koła Łowieckie'!Q33=1,HLOOKUP('Koła Łowieckie'!X26,'Z CERTYFIKATEM'!C2:G22,11),IF('Koła Łowieckie'!Q33=2,HLOOKUP('Koła Łowieckie'!X26,'BEZ CERTYFIKATU'!C2:G22,11))))))</f>
        <v>495</v>
      </c>
      <c r="C12" s="6"/>
      <c r="D12" s="6"/>
      <c r="E12" s="6"/>
      <c r="F12" s="6"/>
    </row>
    <row r="13" spans="1:10" x14ac:dyDescent="0.25">
      <c r="A13" s="7"/>
      <c r="B13" s="8"/>
      <c r="C13" s="9"/>
      <c r="D13" s="9"/>
      <c r="E13" s="9"/>
      <c r="F13" s="9"/>
    </row>
    <row r="14" spans="1:10" x14ac:dyDescent="0.25">
      <c r="A14" s="3" t="s">
        <v>23</v>
      </c>
      <c r="B14" s="4" t="s">
        <v>6</v>
      </c>
      <c r="C14" s="4"/>
      <c r="D14" s="4"/>
      <c r="E14" s="4"/>
      <c r="F14" s="4"/>
      <c r="G14" s="9"/>
      <c r="H14" s="2">
        <v>12</v>
      </c>
    </row>
    <row r="15" spans="1:10" x14ac:dyDescent="0.25">
      <c r="A15" s="3" t="s">
        <v>36</v>
      </c>
      <c r="B15" s="4" t="s">
        <v>0</v>
      </c>
      <c r="C15" s="4"/>
      <c r="D15" s="4"/>
      <c r="E15" s="4"/>
      <c r="F15" s="4"/>
      <c r="G15" s="4"/>
      <c r="H15" s="2">
        <v>13</v>
      </c>
    </row>
    <row r="16" spans="1:10" ht="57.75" x14ac:dyDescent="0.25">
      <c r="A16" s="5" t="s">
        <v>37</v>
      </c>
      <c r="B16" s="10">
        <f>IF($I$2=2,"",IF('Koła Łowieckie'!Q33=1,HLOOKUP('Koła Łowieckie'!X26,'Z CERTYFIKATEM'!C2:G22,14),IF('Koła Łowieckie'!Q33=2,HLOOKUP('Koła Łowieckie'!X26,'BEZ CERTYFIKATU'!C2:G22,14))))</f>
        <v>1000</v>
      </c>
      <c r="C16" s="11"/>
      <c r="D16" s="11"/>
      <c r="E16" s="11"/>
      <c r="F16" s="11"/>
      <c r="G16" s="4"/>
      <c r="H16" s="2">
        <v>14</v>
      </c>
    </row>
    <row r="17" spans="1:8" x14ac:dyDescent="0.25">
      <c r="A17" s="3" t="s">
        <v>2</v>
      </c>
      <c r="B17" s="10">
        <f>IF($I$2=2,"",IF('Koła Łowieckie'!Q33=1,HLOOKUP('Koła Łowieckie'!X26,'Z CERTYFIKATEM'!C2:G22,15),IF('Koła Łowieckie'!Q33=2,HLOOKUP('Koła Łowieckie'!X26,'BEZ CERTYFIKATU'!C2:G22,15))))</f>
        <v>66</v>
      </c>
      <c r="C17" s="10"/>
      <c r="D17" s="10"/>
      <c r="E17" s="10"/>
      <c r="F17" s="10"/>
      <c r="G17" s="11"/>
      <c r="H17" s="2">
        <v>15</v>
      </c>
    </row>
    <row r="18" spans="1:8" ht="46.5" x14ac:dyDescent="0.25">
      <c r="A18" s="5" t="s">
        <v>38</v>
      </c>
      <c r="B18" s="10">
        <f>IF($I$2=2,"",IF('Koła Łowieckie'!Q33=1,HLOOKUP('Koła Łowieckie'!X26,'Z CERTYFIKATEM'!C2:G22,16),IF('Koła Łowieckie'!Q33=2,HLOOKUP('Koła Łowieckie'!X26,'BEZ CERTYFIKATU'!C2:G22,16))))</f>
        <v>2500</v>
      </c>
      <c r="C18" s="10"/>
      <c r="D18" s="10"/>
      <c r="E18" s="10"/>
      <c r="F18" s="10"/>
      <c r="G18" s="10"/>
      <c r="H18" s="2">
        <v>16</v>
      </c>
    </row>
    <row r="19" spans="1:8" x14ac:dyDescent="0.25">
      <c r="A19" s="3" t="s">
        <v>2</v>
      </c>
      <c r="B19" s="10">
        <f>IF($I$2=2,"",IF('Koła Łowieckie'!Q33=1,HLOOKUP('Koła Łowieckie'!X26,'Z CERTYFIKATEM'!C2:G22,17),IF('Koła Łowieckie'!Q33=2,HLOOKUP('Koła Łowieckie'!X26,'BEZ CERTYFIKATU'!C2:G22,17))))</f>
        <v>330</v>
      </c>
      <c r="C19" s="10"/>
      <c r="D19" s="10"/>
      <c r="E19" s="10"/>
      <c r="F19" s="10"/>
      <c r="G19" s="10"/>
      <c r="H19" s="2">
        <v>17</v>
      </c>
    </row>
    <row r="20" spans="1:8" ht="35.25" x14ac:dyDescent="0.25">
      <c r="A20" s="12" t="s">
        <v>39</v>
      </c>
      <c r="B20" s="10">
        <f>IF($I$2=2,"",IF('Koła Łowieckie'!Q33=1,HLOOKUP('Koła Łowieckie'!X26,'Z CERTYFIKATEM'!C2:G22,18),IF('Koła Łowieckie'!Q33=2,HLOOKUP('Koła Łowieckie'!X26,'BEZ CERTYFIKATU'!C2:G22,18))))</f>
        <v>10000</v>
      </c>
      <c r="C20" s="10"/>
      <c r="D20" s="10"/>
      <c r="E20" s="10"/>
      <c r="F20" s="10"/>
      <c r="G20" s="10"/>
      <c r="H20" s="2">
        <v>18</v>
      </c>
    </row>
    <row r="21" spans="1:8" x14ac:dyDescent="0.25">
      <c r="A21" s="3" t="s">
        <v>2</v>
      </c>
      <c r="B21" s="10">
        <f>IF($I$2=2,"",IF('Koła Łowieckie'!Q33=1,HLOOKUP('Koła Łowieckie'!X26,'Z CERTYFIKATEM'!C2:G22,19),IF('Koła Łowieckie'!Q33=2,HLOOKUP('Koła Łowieckie'!X26,'BEZ CERTYFIKATU'!C2:G22,19))))</f>
        <v>468</v>
      </c>
      <c r="C21" s="10"/>
      <c r="D21" s="10"/>
      <c r="E21" s="10"/>
      <c r="F21" s="10"/>
      <c r="G21" s="10"/>
      <c r="H21" s="2">
        <v>19</v>
      </c>
    </row>
    <row r="22" spans="1:8" ht="91.5" x14ac:dyDescent="0.25">
      <c r="A22" s="12" t="s">
        <v>40</v>
      </c>
      <c r="B22" s="10">
        <f>IF($I$2=2,"",IF('Koła Łowieckie'!Q33=1,HLOOKUP('Koła Łowieckie'!X26,'Z CERTYFIKATEM'!C2:G22,20),IF('Koła Łowieckie'!Q33=2,HLOOKUP('Koła Łowieckie'!X26,'BEZ CERTYFIKATU'!C2:G22,20))))</f>
        <v>10000</v>
      </c>
      <c r="C22" s="10"/>
      <c r="D22" s="10"/>
      <c r="E22" s="10"/>
      <c r="F22" s="10"/>
      <c r="G22" s="10"/>
      <c r="H22" s="2">
        <v>20</v>
      </c>
    </row>
    <row r="23" spans="1:8" x14ac:dyDescent="0.25">
      <c r="A23" s="3" t="s">
        <v>2</v>
      </c>
      <c r="B23" s="10">
        <f>IF($I$2=2,"",IF('Koła Łowieckie'!Q33=1,HLOOKUP('Koła Łowieckie'!X26,'Z CERTYFIKATEM'!C2:G22,21),IF('Koła Łowieckie'!Q33=2,HLOOKUP('Koła Łowieckie'!X26,'BEZ CERTYFIKATU'!C2:G22,21))))</f>
        <v>990</v>
      </c>
      <c r="C23" s="10"/>
      <c r="D23" s="10"/>
      <c r="E23" s="10"/>
      <c r="F23" s="10"/>
      <c r="G23" s="10"/>
      <c r="H23" s="2">
        <v>21</v>
      </c>
    </row>
    <row r="24" spans="1:8" x14ac:dyDescent="0.25">
      <c r="G24" s="10"/>
      <c r="H24" s="2">
        <v>22</v>
      </c>
    </row>
  </sheetData>
  <mergeCells count="5">
    <mergeCell ref="B3:B10"/>
    <mergeCell ref="C3:C10"/>
    <mergeCell ref="D3:D10"/>
    <mergeCell ref="E3:E10"/>
    <mergeCell ref="F3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opLeftCell="C1" workbookViewId="0">
      <selection activeCell="E3" sqref="E3:E10"/>
    </sheetView>
  </sheetViews>
  <sheetFormatPr defaultRowHeight="15" x14ac:dyDescent="0.25"/>
  <cols>
    <col min="2" max="2" width="42.5703125" bestFit="1" customWidth="1"/>
    <col min="3" max="7" width="19.85546875" bestFit="1" customWidth="1"/>
  </cols>
  <sheetData>
    <row r="1" spans="2:9" s="2" customFormat="1" ht="12.75" x14ac:dyDescent="0.2">
      <c r="B1" s="3" t="s">
        <v>23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24</v>
      </c>
    </row>
    <row r="2" spans="2:9" s="2" customFormat="1" ht="12.75" x14ac:dyDescent="0.2">
      <c r="B2" s="3" t="s">
        <v>25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I2" s="2">
        <f>'Koła Łowieckie'!$Q$27</f>
        <v>1</v>
      </c>
    </row>
    <row r="3" spans="2:9" s="2" customFormat="1" ht="23.25" x14ac:dyDescent="0.2">
      <c r="B3" s="5" t="s">
        <v>26</v>
      </c>
      <c r="C3" s="163">
        <v>2500</v>
      </c>
      <c r="D3" s="163">
        <f>IF(I2=2,"Wybierz wariant ubezpieczenia",5000)</f>
        <v>5000</v>
      </c>
      <c r="E3" s="163">
        <f>IF(I2=2,"Wybierz wariant ubezpieczenia",5000)</f>
        <v>5000</v>
      </c>
      <c r="F3" s="163">
        <f>IF(OR(I2=3,I2=2),"Wybierz wariant ubezpieczenia",10000)</f>
        <v>10000</v>
      </c>
      <c r="G3" s="163">
        <f>IF(OR(I2=3,I2=2),"Wybierz wariant ubezpieczenia",10000)</f>
        <v>10000</v>
      </c>
    </row>
    <row r="4" spans="2:9" s="2" customFormat="1" ht="12.75" customHeight="1" x14ac:dyDescent="0.2">
      <c r="B4" s="5" t="s">
        <v>27</v>
      </c>
      <c r="C4" s="164"/>
      <c r="D4" s="164"/>
      <c r="E4" s="164"/>
      <c r="F4" s="164"/>
      <c r="G4" s="164"/>
    </row>
    <row r="5" spans="2:9" s="2" customFormat="1" ht="12.75" x14ac:dyDescent="0.2">
      <c r="B5" s="5" t="s">
        <v>28</v>
      </c>
      <c r="C5" s="164"/>
      <c r="D5" s="164"/>
      <c r="E5" s="164"/>
      <c r="F5" s="164"/>
      <c r="G5" s="164"/>
    </row>
    <row r="6" spans="2:9" s="2" customFormat="1" ht="23.25" x14ac:dyDescent="0.2">
      <c r="B6" s="5" t="s">
        <v>29</v>
      </c>
      <c r="C6" s="164"/>
      <c r="D6" s="164"/>
      <c r="E6" s="164"/>
      <c r="F6" s="164"/>
      <c r="G6" s="164"/>
    </row>
    <row r="7" spans="2:9" s="2" customFormat="1" ht="23.25" x14ac:dyDescent="0.2">
      <c r="B7" s="5" t="s">
        <v>30</v>
      </c>
      <c r="C7" s="164"/>
      <c r="D7" s="164"/>
      <c r="E7" s="164"/>
      <c r="F7" s="164"/>
      <c r="G7" s="164"/>
    </row>
    <row r="8" spans="2:9" s="2" customFormat="1" ht="23.25" x14ac:dyDescent="0.2">
      <c r="B8" s="5" t="s">
        <v>31</v>
      </c>
      <c r="C8" s="164"/>
      <c r="D8" s="164"/>
      <c r="E8" s="164"/>
      <c r="F8" s="164"/>
      <c r="G8" s="164"/>
    </row>
    <row r="9" spans="2:9" s="2" customFormat="1" ht="23.25" x14ac:dyDescent="0.2">
      <c r="B9" s="5" t="s">
        <v>32</v>
      </c>
      <c r="C9" s="164"/>
      <c r="D9" s="164"/>
      <c r="E9" s="164"/>
      <c r="F9" s="164"/>
      <c r="G9" s="164"/>
    </row>
    <row r="10" spans="2:9" s="2" customFormat="1" ht="12.75" x14ac:dyDescent="0.2">
      <c r="B10" s="5" t="s">
        <v>33</v>
      </c>
      <c r="C10" s="165"/>
      <c r="D10" s="165"/>
      <c r="E10" s="165"/>
      <c r="F10" s="165"/>
      <c r="G10" s="165"/>
    </row>
    <row r="11" spans="2:9" s="2" customFormat="1" ht="23.25" x14ac:dyDescent="0.2">
      <c r="B11" s="5" t="s">
        <v>34</v>
      </c>
      <c r="C11" s="6">
        <v>500</v>
      </c>
      <c r="D11" s="6">
        <f>IF(I2=2,"",500)</f>
        <v>500</v>
      </c>
      <c r="E11" s="6">
        <f>IF(I2=2,"",500)</f>
        <v>500</v>
      </c>
      <c r="F11" s="6">
        <f>IF(OR(I2=3,I2=2),"",500)</f>
        <v>500</v>
      </c>
      <c r="G11" s="6">
        <f>IF(OR(I2=3,I2=2),"",500)</f>
        <v>500</v>
      </c>
    </row>
    <row r="12" spans="2:9" s="2" customFormat="1" ht="12.75" x14ac:dyDescent="0.2">
      <c r="B12" s="3" t="s">
        <v>35</v>
      </c>
      <c r="C12" s="6">
        <v>270</v>
      </c>
      <c r="D12" s="6">
        <f>IF(I2=2,"",405)</f>
        <v>405</v>
      </c>
      <c r="E12" s="6">
        <f>IF(I2=2,"",405)</f>
        <v>405</v>
      </c>
      <c r="F12" s="6">
        <f>IF(OR(I2=3,I2=2),"",585)</f>
        <v>585</v>
      </c>
      <c r="G12" s="6">
        <f>IF(OR(I2=3,I2=2),"",585)</f>
        <v>585</v>
      </c>
    </row>
    <row r="13" spans="2:9" s="2" customFormat="1" ht="12.75" x14ac:dyDescent="0.2">
      <c r="B13" s="3" t="s">
        <v>23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24</v>
      </c>
    </row>
    <row r="14" spans="2:9" s="2" customFormat="1" ht="12.75" x14ac:dyDescent="0.2">
      <c r="B14" s="3" t="s">
        <v>36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</row>
    <row r="15" spans="2:9" s="2" customFormat="1" ht="34.5" x14ac:dyDescent="0.2">
      <c r="B15" s="5" t="s">
        <v>37</v>
      </c>
      <c r="C15" s="10">
        <v>1000</v>
      </c>
      <c r="D15" s="11">
        <f>IF(I2=2,"Wybierz wariant ubezpieczenia",1000)</f>
        <v>1000</v>
      </c>
      <c r="E15" s="11">
        <f>IF(I2=2,"Wybierz wariant ubezpieczenia",1000)</f>
        <v>1000</v>
      </c>
      <c r="F15" s="11">
        <f>IF(OR(I2=3,I2=2),"Wybierz wariant ubezpieczenia",1000)</f>
        <v>1000</v>
      </c>
      <c r="G15" s="11">
        <f>IF(OR(I2=3,I2=2),"Wybierz wariant ubezpieczenia",1000)</f>
        <v>1000</v>
      </c>
    </row>
    <row r="16" spans="2:9" s="2" customFormat="1" ht="12.75" x14ac:dyDescent="0.2">
      <c r="B16" s="3" t="s">
        <v>2</v>
      </c>
      <c r="C16" s="10">
        <v>54</v>
      </c>
      <c r="D16" s="10">
        <f>IF(I2=2,"Wybierz wariant ubezpieczenia",54)</f>
        <v>54</v>
      </c>
      <c r="E16" s="10">
        <f>IF(I2=2,"Wybierz wariant ubezpieczenia",54)</f>
        <v>54</v>
      </c>
      <c r="F16" s="10">
        <f>IF(OR(I2=3,I2=2),"Wybierz wariant ubezpieczenia",54)</f>
        <v>54</v>
      </c>
      <c r="G16" s="10">
        <f>IF(OR(I2=3,I2=2),"Wybierz wariant ubezpieczenia",54)</f>
        <v>54</v>
      </c>
    </row>
    <row r="17" spans="2:7" s="2" customFormat="1" ht="23.25" x14ac:dyDescent="0.2">
      <c r="B17" s="5" t="s">
        <v>38</v>
      </c>
      <c r="C17" s="10">
        <v>2500</v>
      </c>
      <c r="D17" s="10">
        <f>IF(I2=2,"Wybierz wariant ubezpieczenia",2500)</f>
        <v>2500</v>
      </c>
      <c r="E17" s="10">
        <f>IF(I2=2,"Wybierz wariant ubezpieczenia",2500)</f>
        <v>2500</v>
      </c>
      <c r="F17" s="10">
        <f>IF(OR(I2=3,I2=2),"Wybierz wariant ubezpieczenia",5000)</f>
        <v>5000</v>
      </c>
      <c r="G17" s="10">
        <f>IF(OR(I2=3,I2=2),"Wybierz wariant ubezpieczenia",5000)</f>
        <v>5000</v>
      </c>
    </row>
    <row r="18" spans="2:7" s="2" customFormat="1" ht="15.75" customHeight="1" x14ac:dyDescent="0.2">
      <c r="B18" s="3" t="s">
        <v>2</v>
      </c>
      <c r="C18" s="10">
        <v>270</v>
      </c>
      <c r="D18" s="10">
        <f>IF(I2=2,"Wybierz wariant ubezpieczenia",270)</f>
        <v>270</v>
      </c>
      <c r="E18" s="10">
        <f>IF(I2=2,"Wybierz wariant ubezpieczenia",270)</f>
        <v>270</v>
      </c>
      <c r="F18" s="10">
        <f>IF(OR(I2=3,I2=2),"Wybierz wariant ubezpieczenia",405)</f>
        <v>405</v>
      </c>
      <c r="G18" s="10">
        <f>IF(OR(I2=3,I2=2),"Wybierz wariant ubezpieczenia",405)</f>
        <v>405</v>
      </c>
    </row>
    <row r="19" spans="2:7" s="2" customFormat="1" ht="23.25" x14ac:dyDescent="0.2">
      <c r="B19" s="12" t="s">
        <v>39</v>
      </c>
      <c r="C19" s="10">
        <v>2500</v>
      </c>
      <c r="D19" s="10">
        <f>IF(I2=2,"Wybierz wariant ubezpieczenia",5000)</f>
        <v>5000</v>
      </c>
      <c r="E19" s="10">
        <f>IF(I2=2,"Wybierz wariant ubezpieczenia",10000)</f>
        <v>10000</v>
      </c>
      <c r="F19" s="10">
        <f>IF(OR(I2=3,I2=2),"Wybierz wariant ubezpieczenia",15000)</f>
        <v>15000</v>
      </c>
      <c r="G19" s="10">
        <f>IF(OR(I2=3,I2=2),"Wybierz wariant ubezpieczenia",20000)</f>
        <v>20000</v>
      </c>
    </row>
    <row r="20" spans="2:7" s="2" customFormat="1" ht="15.75" customHeight="1" x14ac:dyDescent="0.2">
      <c r="B20" s="3" t="s">
        <v>2</v>
      </c>
      <c r="C20" s="10">
        <v>90</v>
      </c>
      <c r="D20" s="10">
        <f>IF(I2=2,"Wybierz wariant ubezpieczenia",180)</f>
        <v>180</v>
      </c>
      <c r="E20" s="10">
        <f>IF(I2=2,"Wybierz wariant ubezpieczenia",383)</f>
        <v>383</v>
      </c>
      <c r="F20" s="10">
        <f>IF(OR(I2=3,I2=2),"Wybierz wariant ubezpieczenia",585)</f>
        <v>585</v>
      </c>
      <c r="G20" s="10">
        <f>IF(OR(I2=3,I2=2),"Wybierz wariant ubezpieczenia",765)</f>
        <v>765</v>
      </c>
    </row>
    <row r="21" spans="2:7" s="2" customFormat="1" ht="45.75" x14ac:dyDescent="0.2">
      <c r="B21" s="12" t="s">
        <v>40</v>
      </c>
      <c r="C21" s="10">
        <v>2500</v>
      </c>
      <c r="D21" s="10">
        <f>IF(I2=2,"Wybierz wariant ubezpieczenia",5000)</f>
        <v>5000</v>
      </c>
      <c r="E21" s="10">
        <f>IF(I2=2,"Wybierz wariant ubezpieczenia",10000)</f>
        <v>10000</v>
      </c>
      <c r="F21" s="10">
        <f>IF(OR(I2=3,I2=2),"Wybierz wariant ubezpieczenia",15000)</f>
        <v>15000</v>
      </c>
      <c r="G21" s="10">
        <f>IF(OR(I2=3,I2=2),"Wybierz wariant ubezpieczenia",20000)</f>
        <v>20000</v>
      </c>
    </row>
    <row r="22" spans="2:7" s="2" customFormat="1" ht="12.75" x14ac:dyDescent="0.2">
      <c r="B22" s="3" t="s">
        <v>2</v>
      </c>
      <c r="C22" s="10">
        <v>203</v>
      </c>
      <c r="D22" s="10">
        <f>IF(I2=2,"Wybierz wariant ubezpieczenia",405)</f>
        <v>405</v>
      </c>
      <c r="E22" s="10">
        <f>IF(I2=2,"Wybierz wariant ubezpieczenia",810)</f>
        <v>810</v>
      </c>
      <c r="F22" s="10">
        <f>IF(OR(I2=3,I2=2),"Wybierz wariant ubezpieczenia",1215)</f>
        <v>1215</v>
      </c>
      <c r="G22" s="10">
        <f>IF(OR(I2=3,I2=2),"Wybierz wariant ubezpieczenia",1620)</f>
        <v>1620</v>
      </c>
    </row>
  </sheetData>
  <mergeCells count="5">
    <mergeCell ref="C3:C10"/>
    <mergeCell ref="D3:D10"/>
    <mergeCell ref="E3:E10"/>
    <mergeCell ref="F3:F10"/>
    <mergeCell ref="G3:G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opLeftCell="A8" workbookViewId="0">
      <selection activeCell="D23" sqref="D23"/>
    </sheetView>
  </sheetViews>
  <sheetFormatPr defaultRowHeight="15" x14ac:dyDescent="0.25"/>
  <cols>
    <col min="2" max="2" width="42.5703125" bestFit="1" customWidth="1"/>
    <col min="3" max="7" width="19.85546875" bestFit="1" customWidth="1"/>
  </cols>
  <sheetData>
    <row r="1" spans="2:9" s="2" customFormat="1" ht="12.75" x14ac:dyDescent="0.2">
      <c r="B1" s="3" t="s">
        <v>23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24</v>
      </c>
    </row>
    <row r="2" spans="2:9" s="2" customFormat="1" ht="12.75" x14ac:dyDescent="0.2">
      <c r="B2" s="3" t="s">
        <v>25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I2" s="2">
        <f>'Z CERTYFIKATEM'!I2</f>
        <v>1</v>
      </c>
    </row>
    <row r="3" spans="2:9" s="2" customFormat="1" ht="23.25" x14ac:dyDescent="0.2">
      <c r="B3" s="5" t="s">
        <v>26</v>
      </c>
      <c r="C3" s="163">
        <v>2500</v>
      </c>
      <c r="D3" s="163">
        <f>IF(I2=2,"Wybierz wariant ubezpieczenia",5000)</f>
        <v>5000</v>
      </c>
      <c r="E3" s="163">
        <f>IF(I2=2,"Wybierz wariant ubezpieczenia",5000)</f>
        <v>5000</v>
      </c>
      <c r="F3" s="163">
        <f>IF(OR(I2=3,I2=2),"Wybierz wariant ubezpieczenia",10000)</f>
        <v>10000</v>
      </c>
      <c r="G3" s="163">
        <f>IF(OR(I2=3,I2=2),"Wybierz wariant ubezpieczenia",10000)</f>
        <v>10000</v>
      </c>
    </row>
    <row r="4" spans="2:9" s="2" customFormat="1" ht="12.75" customHeight="1" x14ac:dyDescent="0.2">
      <c r="B4" s="5" t="s">
        <v>27</v>
      </c>
      <c r="C4" s="164"/>
      <c r="D4" s="164"/>
      <c r="E4" s="164"/>
      <c r="F4" s="164"/>
      <c r="G4" s="164"/>
    </row>
    <row r="5" spans="2:9" s="2" customFormat="1" ht="12.75" x14ac:dyDescent="0.2">
      <c r="B5" s="5" t="s">
        <v>28</v>
      </c>
      <c r="C5" s="164"/>
      <c r="D5" s="164"/>
      <c r="E5" s="164"/>
      <c r="F5" s="164"/>
      <c r="G5" s="164"/>
    </row>
    <row r="6" spans="2:9" s="2" customFormat="1" ht="23.25" x14ac:dyDescent="0.2">
      <c r="B6" s="5" t="s">
        <v>29</v>
      </c>
      <c r="C6" s="164"/>
      <c r="D6" s="164"/>
      <c r="E6" s="164"/>
      <c r="F6" s="164"/>
      <c r="G6" s="164"/>
    </row>
    <row r="7" spans="2:9" s="2" customFormat="1" ht="23.25" x14ac:dyDescent="0.2">
      <c r="B7" s="5" t="s">
        <v>30</v>
      </c>
      <c r="C7" s="164"/>
      <c r="D7" s="164"/>
      <c r="E7" s="164"/>
      <c r="F7" s="164"/>
      <c r="G7" s="164"/>
    </row>
    <row r="8" spans="2:9" s="2" customFormat="1" ht="23.25" x14ac:dyDescent="0.2">
      <c r="B8" s="5" t="s">
        <v>31</v>
      </c>
      <c r="C8" s="164"/>
      <c r="D8" s="164"/>
      <c r="E8" s="164"/>
      <c r="F8" s="164"/>
      <c r="G8" s="164"/>
    </row>
    <row r="9" spans="2:9" s="2" customFormat="1" ht="23.25" x14ac:dyDescent="0.2">
      <c r="B9" s="5" t="s">
        <v>32</v>
      </c>
      <c r="C9" s="164"/>
      <c r="D9" s="164"/>
      <c r="E9" s="164"/>
      <c r="F9" s="164"/>
      <c r="G9" s="164"/>
    </row>
    <row r="10" spans="2:9" s="2" customFormat="1" ht="12.75" x14ac:dyDescent="0.2">
      <c r="B10" s="5" t="s">
        <v>33</v>
      </c>
      <c r="C10" s="165"/>
      <c r="D10" s="165"/>
      <c r="E10" s="165"/>
      <c r="F10" s="165"/>
      <c r="G10" s="165"/>
    </row>
    <row r="11" spans="2:9" s="2" customFormat="1" ht="23.25" x14ac:dyDescent="0.2">
      <c r="B11" s="5" t="s">
        <v>34</v>
      </c>
      <c r="C11" s="6">
        <v>500</v>
      </c>
      <c r="D11" s="6">
        <f>IF(I2=2,"",500)</f>
        <v>500</v>
      </c>
      <c r="E11" s="6">
        <f>IF(I2=2,"",500)</f>
        <v>500</v>
      </c>
      <c r="F11" s="6">
        <f>IF(OR(I2=3,I2=2),"",500)</f>
        <v>500</v>
      </c>
      <c r="G11" s="6">
        <f>IF(OR(I2=3,I2=2),"",500)</f>
        <v>500</v>
      </c>
    </row>
    <row r="12" spans="2:9" s="2" customFormat="1" ht="12.75" x14ac:dyDescent="0.2">
      <c r="B12" s="3" t="s">
        <v>35</v>
      </c>
      <c r="C12" s="6">
        <v>330</v>
      </c>
      <c r="D12" s="6">
        <f>IF(I2=2,"",495)</f>
        <v>495</v>
      </c>
      <c r="E12" s="6">
        <f>IF(I2=2,"",495)</f>
        <v>495</v>
      </c>
      <c r="F12" s="6">
        <f>IF(OR(I2=3,I2=2),"",715)</f>
        <v>715</v>
      </c>
      <c r="G12" s="6">
        <f>IF(OR(I2=3,I2=2),"",715)</f>
        <v>715</v>
      </c>
    </row>
    <row r="13" spans="2:9" s="2" customFormat="1" ht="12.75" x14ac:dyDescent="0.2">
      <c r="B13" s="3" t="s">
        <v>23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24</v>
      </c>
    </row>
    <row r="14" spans="2:9" s="2" customFormat="1" ht="12.75" x14ac:dyDescent="0.2">
      <c r="B14" s="3" t="s">
        <v>36</v>
      </c>
      <c r="C14" s="4" t="s">
        <v>0</v>
      </c>
      <c r="D14" s="4" t="s">
        <v>0</v>
      </c>
      <c r="E14" s="4" t="s">
        <v>0</v>
      </c>
      <c r="F14" s="4" t="s">
        <v>0</v>
      </c>
      <c r="G14" s="4" t="s">
        <v>0</v>
      </c>
    </row>
    <row r="15" spans="2:9" s="2" customFormat="1" ht="34.5" x14ac:dyDescent="0.2">
      <c r="B15" s="5" t="s">
        <v>37</v>
      </c>
      <c r="C15" s="10">
        <v>1000</v>
      </c>
      <c r="D15" s="11">
        <f>IF(I2=2,"Wybierz wariant ubezpieczenia",1000)</f>
        <v>1000</v>
      </c>
      <c r="E15" s="11">
        <f>IF(I2=2,"Wybierz wariant ubezpieczenia",1000)</f>
        <v>1000</v>
      </c>
      <c r="F15" s="11">
        <f>IF(OR(I2=3,I2=2),"Wybierz wariant ubezpieczenia",1000)</f>
        <v>1000</v>
      </c>
      <c r="G15" s="11">
        <f>IF(OR(I2=3,I2=2),"Wybierz wariant ubezpieczenia",1000)</f>
        <v>1000</v>
      </c>
    </row>
    <row r="16" spans="2:9" s="2" customFormat="1" ht="12.75" x14ac:dyDescent="0.2">
      <c r="B16" s="3" t="s">
        <v>2</v>
      </c>
      <c r="C16" s="10">
        <v>66</v>
      </c>
      <c r="D16" s="10">
        <f>IF(I2=2,"Wybierz wariant ubezpieczenia",66)</f>
        <v>66</v>
      </c>
      <c r="E16" s="10">
        <f>IF(I2=2,"Wybierz wariant ubezpieczenia",66)</f>
        <v>66</v>
      </c>
      <c r="F16" s="10">
        <f>IF(OR(I2=3,I2=2),"Wybierz wariant ubezpieczenia",66)</f>
        <v>66</v>
      </c>
      <c r="G16" s="10">
        <f>IF(OR(I2=3,I2=2),"Wybierz wariant ubezpieczenia",66)</f>
        <v>66</v>
      </c>
    </row>
    <row r="17" spans="2:7" s="2" customFormat="1" ht="23.25" x14ac:dyDescent="0.2">
      <c r="B17" s="5" t="s">
        <v>38</v>
      </c>
      <c r="C17" s="10">
        <v>2500</v>
      </c>
      <c r="D17" s="10">
        <f>IF(I2=2,"Wybierz wariant ubezpieczenia",2500)</f>
        <v>2500</v>
      </c>
      <c r="E17" s="10">
        <f>IF(I2=2,"Wybierz wariant ubezpieczenia",2500)</f>
        <v>2500</v>
      </c>
      <c r="F17" s="10">
        <f>IF(OR(I2=3,I2=2),"Wybierz wariant ubezpieczenia",5000)</f>
        <v>5000</v>
      </c>
      <c r="G17" s="10">
        <f>IF(OR(I2=3,I2=2),"Wybierz wariant ubezpieczenia",5000)</f>
        <v>5000</v>
      </c>
    </row>
    <row r="18" spans="2:7" s="2" customFormat="1" ht="15.75" customHeight="1" x14ac:dyDescent="0.2">
      <c r="B18" s="3" t="s">
        <v>2</v>
      </c>
      <c r="C18" s="10">
        <v>330</v>
      </c>
      <c r="D18" s="10">
        <f>IF(I2=2,"Wybierz wariant ubezpieczenia",330)</f>
        <v>330</v>
      </c>
      <c r="E18" s="10">
        <f>IF(I2=2,"Wybierz wariant ubezpieczenia",330)</f>
        <v>330</v>
      </c>
      <c r="F18" s="10">
        <f>IF(OR(I2=3,I2=2),"Wybierz wariant ubezpieczenia",495)</f>
        <v>495</v>
      </c>
      <c r="G18" s="10">
        <f>IF(OR(I2=3,I2=2),"Wybierz wariant ubezpieczenia",495)</f>
        <v>495</v>
      </c>
    </row>
    <row r="19" spans="2:7" s="2" customFormat="1" ht="44.25" customHeight="1" x14ac:dyDescent="0.2">
      <c r="B19" s="12" t="s">
        <v>39</v>
      </c>
      <c r="C19" s="10">
        <v>2500</v>
      </c>
      <c r="D19" s="10">
        <f>IF(I2=2,"Wybierz wariant ubezpieczenia",5000)</f>
        <v>5000</v>
      </c>
      <c r="E19" s="10">
        <f>IF(I2=2,"Wybierz wariant ubezpieczenia",10000)</f>
        <v>10000</v>
      </c>
      <c r="F19" s="10">
        <f>IF(OR(I2=3,I2=2),"Wybierz wariant ubezpieczenia",15000)</f>
        <v>15000</v>
      </c>
      <c r="G19" s="10">
        <f>IF(OR(I2=3,I2=2),"Wybierz wariant ubezpieczenia",20000)</f>
        <v>20000</v>
      </c>
    </row>
    <row r="20" spans="2:7" s="2" customFormat="1" ht="15.75" customHeight="1" x14ac:dyDescent="0.2">
      <c r="B20" s="3" t="s">
        <v>2</v>
      </c>
      <c r="C20" s="10">
        <v>110</v>
      </c>
      <c r="D20" s="10">
        <f>IF(I2=2,"Wybierz wariant ubezpieczenia",220)</f>
        <v>220</v>
      </c>
      <c r="E20" s="10">
        <f>IF(I2=2,"Wybierz wariant ubezpieczenia",468)</f>
        <v>468</v>
      </c>
      <c r="F20" s="10">
        <f>IF(OR(I2=3,I2=2),"Wybierz wariant ubezpieczenia",715)</f>
        <v>715</v>
      </c>
      <c r="G20" s="10">
        <f>IF(OR(I2=3,I2=2),"Wybierz wariant ubezpieczenia",935)</f>
        <v>935</v>
      </c>
    </row>
    <row r="21" spans="2:7" s="2" customFormat="1" ht="45.75" x14ac:dyDescent="0.2">
      <c r="B21" s="12" t="s">
        <v>40</v>
      </c>
      <c r="C21" s="10">
        <v>2500</v>
      </c>
      <c r="D21" s="10">
        <f>IF(I2=2,"Wybierz wariant ubezpieczenia",5000)</f>
        <v>5000</v>
      </c>
      <c r="E21" s="10">
        <f>IF(I2=2,"Wybierz wariant ubezpieczenia",10000)</f>
        <v>10000</v>
      </c>
      <c r="F21" s="10">
        <f>IF(OR(I2=3,I2=2),"Wybierz wariant ubezpieczenia",15000)</f>
        <v>15000</v>
      </c>
      <c r="G21" s="10">
        <f>IF(OR(I2=3,I2=2),"Wybierz wariant ubezpieczenia",20000)</f>
        <v>20000</v>
      </c>
    </row>
    <row r="22" spans="2:7" s="2" customFormat="1" ht="12.75" x14ac:dyDescent="0.2">
      <c r="B22" s="3" t="s">
        <v>2</v>
      </c>
      <c r="C22" s="10">
        <v>248</v>
      </c>
      <c r="D22" s="10">
        <f>IF(I2=2,"Wybierz wariant ubezpieczenia",495)</f>
        <v>495</v>
      </c>
      <c r="E22" s="10">
        <f>IF(I2=2,"Wybierz wariant ubezpieczenia",990)</f>
        <v>990</v>
      </c>
      <c r="F22" s="10">
        <f>IF(OR(I2=3,I2=2),"Wybierz wariant ubezpieczenia",1485)</f>
        <v>1485</v>
      </c>
      <c r="G22" s="10">
        <f>IF(OR(I2=3,I2=2),"Wybierz wariant ubezpieczenia",1980)</f>
        <v>1980</v>
      </c>
    </row>
  </sheetData>
  <mergeCells count="5">
    <mergeCell ref="C3:C10"/>
    <mergeCell ref="D3:D10"/>
    <mergeCell ref="E3:E10"/>
    <mergeCell ref="F3:F10"/>
    <mergeCell ref="G3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Koła Łowieckie</vt:lpstr>
      <vt:lpstr>Arkusz3</vt:lpstr>
      <vt:lpstr>Z CERTYFIKATEM</vt:lpstr>
      <vt:lpstr>BEZ CERTYFIKATU</vt:lpstr>
      <vt:lpstr>'Koła Łowieckie'!Obszar_wydruku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Jackowiak</dc:creator>
  <cp:lastModifiedBy>Michał Borucki</cp:lastModifiedBy>
  <cp:lastPrinted>2023-09-07T11:13:08Z</cp:lastPrinted>
  <dcterms:created xsi:type="dcterms:W3CDTF">2021-12-01T08:13:33Z</dcterms:created>
  <dcterms:modified xsi:type="dcterms:W3CDTF">2023-10-27T06:02:29Z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6fd914-8286-453e-8cdd-01ba4c22f429_Enabled">
    <vt:lpwstr>true</vt:lpwstr>
  </property>
  <property fmtid="{D5CDD505-2E9C-101B-9397-08002B2CF9AE}" pid="3" name="MSIP_Label_ad6fd914-8286-453e-8cdd-01ba4c22f429_SetDate">
    <vt:lpwstr>2023-09-05T06:56:32Z</vt:lpwstr>
  </property>
  <property fmtid="{D5CDD505-2E9C-101B-9397-08002B2CF9AE}" pid="4" name="MSIP_Label_ad6fd914-8286-453e-8cdd-01ba4c22f429_Method">
    <vt:lpwstr>Standard</vt:lpwstr>
  </property>
  <property fmtid="{D5CDD505-2E9C-101B-9397-08002B2CF9AE}" pid="5" name="MSIP_Label_ad6fd914-8286-453e-8cdd-01ba4c22f429_Name">
    <vt:lpwstr>Informacja chroniona</vt:lpwstr>
  </property>
  <property fmtid="{D5CDD505-2E9C-101B-9397-08002B2CF9AE}" pid="6" name="MSIP_Label_ad6fd914-8286-453e-8cdd-01ba4c22f429_SiteId">
    <vt:lpwstr>70494a27-b38e-4c71-aa33-8d5d48639f41</vt:lpwstr>
  </property>
  <property fmtid="{D5CDD505-2E9C-101B-9397-08002B2CF9AE}" pid="7" name="MSIP_Label_ad6fd914-8286-453e-8cdd-01ba4c22f429_ActionId">
    <vt:lpwstr>af58e128-b024-48fb-9975-4fe3b1c5cf64</vt:lpwstr>
  </property>
  <property fmtid="{D5CDD505-2E9C-101B-9397-08002B2CF9AE}" pid="8" name="MSIP_Label_ad6fd914-8286-453e-8cdd-01ba4c22f429_ContentBits">
    <vt:lpwstr>0</vt:lpwstr>
  </property>
</Properties>
</file>